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bdech\BIWS Dropbox\Brian DeChesare\BIWS-All-Courses\100-Bonus-Case-Studies\DCM-LevFin\Times-Interest-Earned\"/>
    </mc:Choice>
  </mc:AlternateContent>
  <xr:revisionPtr revIDLastSave="0" documentId="13_ncr:1_{E7B05ED0-AE80-4573-A90F-26FC026E8097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TIE_Ratio" sheetId="1" r:id="rId1"/>
  </sheets>
  <definedNames>
    <definedName name="Cash_Interest">TIE_Ratio!$F$21</definedName>
    <definedName name="CF_Sweep">TIE_Ratio!$F$19</definedName>
    <definedName name="Debt_Maturity">TIE_Ratio!$F$18</definedName>
    <definedName name="Fin_Fees">TIE_Ratio!$K$33</definedName>
    <definedName name="Int_On_Cash">TIE_Ratio!$F$24</definedName>
    <definedName name="Min_Cash">TIE_Ratio!$K$9</definedName>
    <definedName name="OID">TIE_Ratio!$K$34</definedName>
    <definedName name="PIK_Interest">TIE_Ratio!$F$22</definedName>
    <definedName name="_xlnm.Print_Area" localSheetId="0">TIE_Ratio!$A$1:$L$127</definedName>
    <definedName name="Tax_Rate">TIE_Ratio!$K$10</definedName>
    <definedName name="TIE_Numerator">TIE_Ratio!$K$18</definedName>
  </definedNames>
  <calcPr calcId="191029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6" i="1" l="1"/>
  <c r="J76" i="1"/>
  <c r="I76" i="1"/>
  <c r="H76" i="1"/>
  <c r="K75" i="1"/>
  <c r="J75" i="1"/>
  <c r="I75" i="1"/>
  <c r="H75" i="1"/>
  <c r="K74" i="1"/>
  <c r="J74" i="1"/>
  <c r="I74" i="1"/>
  <c r="H74" i="1"/>
  <c r="G76" i="1"/>
  <c r="G75" i="1"/>
  <c r="G74" i="1"/>
  <c r="G73" i="1"/>
  <c r="C68" i="1" l="1"/>
  <c r="F65" i="1" l="1"/>
  <c r="E65" i="1"/>
  <c r="E117" i="1" l="1"/>
  <c r="E88" i="1"/>
  <c r="E40" i="1" l="1"/>
  <c r="J28" i="1"/>
  <c r="E28" i="1"/>
  <c r="F40" i="1"/>
  <c r="G42" i="1"/>
  <c r="H120" i="1"/>
  <c r="I120" i="1"/>
  <c r="J120" i="1"/>
  <c r="K120" i="1"/>
  <c r="G120" i="1"/>
  <c r="G40" i="1" l="1"/>
  <c r="G117" i="1" s="1"/>
  <c r="G65" i="1"/>
  <c r="F117" i="1"/>
  <c r="F88" i="1"/>
  <c r="H42" i="1"/>
  <c r="H65" i="1" s="1"/>
  <c r="F47" i="1"/>
  <c r="F15" i="1" s="1"/>
  <c r="G44" i="1"/>
  <c r="F31" i="1" l="1"/>
  <c r="K34" i="1"/>
  <c r="G88" i="1"/>
  <c r="F9" i="1"/>
  <c r="G99" i="1"/>
  <c r="G50" i="1"/>
  <c r="I42" i="1"/>
  <c r="I65" i="1" s="1"/>
  <c r="H40" i="1"/>
  <c r="G96" i="1"/>
  <c r="G47" i="1"/>
  <c r="G68" i="1" s="1"/>
  <c r="F109" i="1"/>
  <c r="H44" i="1"/>
  <c r="K35" i="1"/>
  <c r="F110" i="1" s="1"/>
  <c r="G55" i="1" l="1"/>
  <c r="G53" i="1"/>
  <c r="G71" i="1" s="1"/>
  <c r="G54" i="1"/>
  <c r="G104" i="1"/>
  <c r="G114" i="1"/>
  <c r="K57" i="1"/>
  <c r="K93" i="1" s="1"/>
  <c r="H57" i="1"/>
  <c r="H93" i="1" s="1"/>
  <c r="G57" i="1"/>
  <c r="G93" i="1" s="1"/>
  <c r="J57" i="1"/>
  <c r="J93" i="1" s="1"/>
  <c r="I57" i="1"/>
  <c r="I93" i="1" s="1"/>
  <c r="H99" i="1"/>
  <c r="H50" i="1"/>
  <c r="H88" i="1"/>
  <c r="H117" i="1"/>
  <c r="J42" i="1"/>
  <c r="J65" i="1" s="1"/>
  <c r="I40" i="1"/>
  <c r="G119" i="1"/>
  <c r="G121" i="1" s="1"/>
  <c r="G102" i="1"/>
  <c r="H96" i="1"/>
  <c r="H47" i="1"/>
  <c r="I44" i="1"/>
  <c r="H68" i="1" l="1"/>
  <c r="G92" i="1"/>
  <c r="G72" i="1"/>
  <c r="G77" i="1" s="1"/>
  <c r="H104" i="1"/>
  <c r="H114" i="1"/>
  <c r="I99" i="1"/>
  <c r="I50" i="1"/>
  <c r="I117" i="1"/>
  <c r="I88" i="1"/>
  <c r="K42" i="1"/>
  <c r="J40" i="1"/>
  <c r="H119" i="1"/>
  <c r="H121" i="1" s="1"/>
  <c r="J44" i="1"/>
  <c r="I96" i="1"/>
  <c r="I47" i="1"/>
  <c r="I68" i="1" s="1"/>
  <c r="I114" i="1" l="1"/>
  <c r="I104" i="1"/>
  <c r="K40" i="1"/>
  <c r="K88" i="1" s="1"/>
  <c r="K65" i="1"/>
  <c r="J99" i="1"/>
  <c r="J50" i="1"/>
  <c r="J117" i="1"/>
  <c r="J88" i="1"/>
  <c r="I119" i="1"/>
  <c r="I121" i="1" s="1"/>
  <c r="K44" i="1"/>
  <c r="J96" i="1"/>
  <c r="J47" i="1"/>
  <c r="J68" i="1" s="1"/>
  <c r="J5" i="1"/>
  <c r="J114" i="1" l="1"/>
  <c r="J104" i="1"/>
  <c r="K117" i="1"/>
  <c r="K99" i="1"/>
  <c r="K50" i="1"/>
  <c r="J119" i="1"/>
  <c r="J121" i="1" s="1"/>
  <c r="K96" i="1"/>
  <c r="K47" i="1"/>
  <c r="K68" i="1" s="1"/>
  <c r="K114" i="1" l="1"/>
  <c r="K104" i="1"/>
  <c r="K119" i="1"/>
  <c r="K121" i="1" s="1"/>
  <c r="F12" i="1"/>
  <c r="K32" i="1" s="1"/>
  <c r="K33" i="1"/>
  <c r="K31" i="1"/>
  <c r="G95" i="1"/>
  <c r="K58" i="1" l="1"/>
  <c r="K94" i="1" s="1"/>
  <c r="J58" i="1"/>
  <c r="J94" i="1" s="1"/>
  <c r="I58" i="1"/>
  <c r="I94" i="1" s="1"/>
  <c r="H58" i="1"/>
  <c r="H94" i="1" s="1"/>
  <c r="G58" i="1"/>
  <c r="G94" i="1" s="1"/>
  <c r="K36" i="1"/>
  <c r="F32" i="1" s="1"/>
  <c r="H95" i="1"/>
  <c r="G79" i="1" l="1"/>
  <c r="G59" i="1"/>
  <c r="G61" i="1" s="1"/>
  <c r="F33" i="1"/>
  <c r="K38" i="1" s="1"/>
  <c r="F111" i="1"/>
  <c r="I95" i="1"/>
  <c r="G62" i="1" l="1"/>
  <c r="F113" i="1"/>
  <c r="J95" i="1"/>
  <c r="G63" i="1" l="1"/>
  <c r="G90" i="1" s="1"/>
  <c r="G84" i="1"/>
  <c r="G111" i="1"/>
  <c r="G103" i="1"/>
  <c r="G105" i="1" s="1"/>
  <c r="G107" i="1" s="1"/>
  <c r="G110" i="1" s="1"/>
  <c r="K95" i="1"/>
  <c r="G109" i="1" l="1"/>
  <c r="H55" i="1"/>
  <c r="H73" i="1" s="1"/>
  <c r="G113" i="1"/>
  <c r="H102" i="1"/>
  <c r="H53" i="1"/>
  <c r="H71" i="1" s="1"/>
  <c r="H54" i="1"/>
  <c r="G115" i="1"/>
  <c r="H92" i="1" l="1"/>
  <c r="H72" i="1"/>
  <c r="H77" i="1" s="1"/>
  <c r="H79" i="1" s="1"/>
  <c r="G122" i="1"/>
  <c r="G123" i="1" s="1"/>
  <c r="G82" i="1"/>
  <c r="H59" i="1"/>
  <c r="H61" i="1" s="1"/>
  <c r="H62" i="1" s="1"/>
  <c r="H63" i="1" l="1"/>
  <c r="H90" i="1" s="1"/>
  <c r="H103" i="1" s="1"/>
  <c r="H105" i="1" s="1"/>
  <c r="H107" i="1" s="1"/>
  <c r="H84" i="1"/>
  <c r="G125" i="1"/>
  <c r="G126" i="1"/>
  <c r="H111" i="1"/>
  <c r="H110" i="1" l="1"/>
  <c r="I55" i="1" s="1"/>
  <c r="I73" i="1" s="1"/>
  <c r="H109" i="1"/>
  <c r="H82" i="1" s="1"/>
  <c r="I53" i="1" l="1"/>
  <c r="I71" i="1" s="1"/>
  <c r="I54" i="1"/>
  <c r="I72" i="1" s="1"/>
  <c r="I102" i="1"/>
  <c r="H113" i="1"/>
  <c r="H115" i="1" s="1"/>
  <c r="H122" i="1"/>
  <c r="H123" i="1" s="1"/>
  <c r="H125" i="1" s="1"/>
  <c r="I77" i="1" l="1"/>
  <c r="I79" i="1"/>
  <c r="I92" i="1"/>
  <c r="I59" i="1"/>
  <c r="I61" i="1" s="1"/>
  <c r="I62" i="1" s="1"/>
  <c r="I84" i="1" s="1"/>
  <c r="H126" i="1"/>
  <c r="I63" i="1" l="1"/>
  <c r="I90" i="1" s="1"/>
  <c r="I103" i="1" s="1"/>
  <c r="I111" i="1" l="1"/>
  <c r="I105" i="1" l="1"/>
  <c r="I107" i="1" l="1"/>
  <c r="I109" i="1" s="1"/>
  <c r="I82" i="1" s="1"/>
  <c r="J53" i="1" l="1"/>
  <c r="J71" i="1" s="1"/>
  <c r="J54" i="1"/>
  <c r="J72" i="1" s="1"/>
  <c r="I113" i="1"/>
  <c r="I115" i="1" s="1"/>
  <c r="I110" i="1"/>
  <c r="J55" i="1" s="1"/>
  <c r="J73" i="1" s="1"/>
  <c r="J92" i="1"/>
  <c r="J77" i="1" l="1"/>
  <c r="I122" i="1"/>
  <c r="I123" i="1" s="1"/>
  <c r="I125" i="1" s="1"/>
  <c r="J102" i="1"/>
  <c r="J59" i="1"/>
  <c r="J61" i="1" s="1"/>
  <c r="J79" i="1"/>
  <c r="I126" i="1" l="1"/>
  <c r="J62" i="1"/>
  <c r="J63" i="1" l="1"/>
  <c r="J90" i="1" s="1"/>
  <c r="J103" i="1" s="1"/>
  <c r="J105" i="1" s="1"/>
  <c r="J84" i="1"/>
  <c r="J111" i="1" l="1"/>
  <c r="J107" i="1"/>
  <c r="J109" i="1" s="1"/>
  <c r="J82" i="1" s="1"/>
  <c r="J110" i="1" l="1"/>
  <c r="K55" i="1" s="1"/>
  <c r="K73" i="1" s="1"/>
  <c r="K54" i="1"/>
  <c r="K72" i="1" s="1"/>
  <c r="K53" i="1"/>
  <c r="K71" i="1" s="1"/>
  <c r="J113" i="1"/>
  <c r="J115" i="1" s="1"/>
  <c r="K92" i="1"/>
  <c r="J122" i="1"/>
  <c r="J123" i="1" s="1"/>
  <c r="J125" i="1" s="1"/>
  <c r="K102" i="1" l="1"/>
  <c r="K77" i="1"/>
  <c r="K59" i="1"/>
  <c r="K61" i="1" s="1"/>
  <c r="K62" i="1" s="1"/>
  <c r="K84" i="1" s="1"/>
  <c r="K79" i="1"/>
  <c r="J126" i="1"/>
  <c r="K63" i="1" l="1"/>
  <c r="K90" i="1" s="1"/>
  <c r="K103" i="1" s="1"/>
  <c r="K105" i="1" s="1"/>
  <c r="K107" i="1" s="1"/>
  <c r="K111" i="1"/>
  <c r="K110" i="1" l="1"/>
  <c r="K109" i="1"/>
  <c r="K82" i="1" s="1"/>
  <c r="K113" i="1" l="1"/>
  <c r="K115" i="1" s="1"/>
  <c r="K122" i="1"/>
  <c r="K123" i="1" s="1"/>
  <c r="K126" i="1" l="1"/>
  <c r="K125" i="1"/>
</calcChain>
</file>

<file path=xl/sharedStrings.xml><?xml version="1.0" encoding="utf-8"?>
<sst xmlns="http://schemas.openxmlformats.org/spreadsheetml/2006/main" count="200" uniqueCount="110">
  <si>
    <t>Net Income:</t>
  </si>
  <si>
    <t>Debt Balance:</t>
  </si>
  <si>
    <t>EBITDA Exit Multiple:</t>
  </si>
  <si>
    <t>EBITDA:</t>
  </si>
  <si>
    <t>Tax Rate:</t>
  </si>
  <si>
    <t>($ in Millions)</t>
  </si>
  <si>
    <t>Debt Used:</t>
  </si>
  <si>
    <t>Income Statement:</t>
  </si>
  <si>
    <t>Revenue:</t>
  </si>
  <si>
    <t>Pre-Tax Income:</t>
  </si>
  <si>
    <t>EBITDA Purchase Multiple:</t>
  </si>
  <si>
    <t>Exit Enterprise Value:</t>
  </si>
  <si>
    <t>Cash Balance:</t>
  </si>
  <si>
    <t>Money-on-Money (MoM) Multiple:</t>
  </si>
  <si>
    <t>Growth Rate:</t>
  </si>
  <si>
    <t>Margin:</t>
  </si>
  <si>
    <t>(-) Depreciation &amp; Amortization:</t>
  </si>
  <si>
    <t>(-) Taxes:</t>
  </si>
  <si>
    <t>Cash Flow and Debt Repayment:</t>
  </si>
  <si>
    <t>(+) Depreciation &amp; Amortization:</t>
  </si>
  <si>
    <t>(+/-) Change in Working Capital:</t>
  </si>
  <si>
    <t>(-) CapEx:</t>
  </si>
  <si>
    <t>% of Revenue:</t>
  </si>
  <si>
    <t>% of Change in Revenue:</t>
  </si>
  <si>
    <t>(+) Beginning Cash Balance:</t>
  </si>
  <si>
    <t>(+) Free Cash Flow:</t>
  </si>
  <si>
    <t>(-) Minimum Cash Balance:</t>
  </si>
  <si>
    <t>Minimum Cash % EBITDA:</t>
  </si>
  <si>
    <t>(-) Debt:</t>
  </si>
  <si>
    <t>(+) Cash:</t>
  </si>
  <si>
    <t>Equity Balance:</t>
  </si>
  <si>
    <t>Invested Capital:</t>
  </si>
  <si>
    <t>NOPAT:</t>
  </si>
  <si>
    <t>Return on Invested Capital (ROIC):</t>
  </si>
  <si>
    <t>Purchase Enterprise Value:</t>
  </si>
  <si>
    <t>Sources &amp; Uses:</t>
  </si>
  <si>
    <t>Uses:</t>
  </si>
  <si>
    <t>Transaction Fees:</t>
  </si>
  <si>
    <t>Financing Fees:</t>
  </si>
  <si>
    <t>Total Uses:</t>
  </si>
  <si>
    <t>CHECK:</t>
  </si>
  <si>
    <t>Sources:</t>
  </si>
  <si>
    <t>Total Sources:</t>
  </si>
  <si>
    <t>Advisory Fee %:</t>
  </si>
  <si>
    <t>%</t>
  </si>
  <si>
    <t>Debt Issuance Fee %:</t>
  </si>
  <si>
    <t>Legal and Other Fees:</t>
  </si>
  <si>
    <t>$ M</t>
  </si>
  <si>
    <t>Transaction Assumptions:</t>
  </si>
  <si>
    <t>Units:</t>
  </si>
  <si>
    <t>x</t>
  </si>
  <si>
    <t>Leverage Ratio:</t>
  </si>
  <si>
    <t>Investor Equity:</t>
  </si>
  <si>
    <t>Purchase Equity Value:</t>
  </si>
  <si>
    <t>New Debt Issued:</t>
  </si>
  <si>
    <t>Minimum Cash:</t>
  </si>
  <si>
    <t>(x) Exit Multiple:</t>
  </si>
  <si>
    <t>(-) Net Debt:</t>
  </si>
  <si>
    <t>Exit Equity Proceeds:</t>
  </si>
  <si>
    <t>Internal Rate of Return (IRR):</t>
  </si>
  <si>
    <t>Year #:</t>
  </si>
  <si>
    <t>#</t>
  </si>
  <si>
    <t>Cash Flow Sweep:</t>
  </si>
  <si>
    <t>Equity Returns:</t>
  </si>
  <si>
    <t>Name</t>
  </si>
  <si>
    <t>CF Avail. for Debt Repayment:</t>
  </si>
  <si>
    <t>CF Used for Debt Repayment:</t>
  </si>
  <si>
    <t>Simple LBO Model - Times Interest Earned (TIE) Ratio Demonstration</t>
  </si>
  <si>
    <t>TIE Numerator:</t>
  </si>
  <si>
    <t>TIE Denominator:</t>
  </si>
  <si>
    <t>(-) Cash Interest Expense:</t>
  </si>
  <si>
    <t>(-) Lease Interest:</t>
  </si>
  <si>
    <t>(-) PIK Interest Expense:</t>
  </si>
  <si>
    <t>(+) Interest Income:</t>
  </si>
  <si>
    <t>(-) Issuance Fee Amortization:</t>
  </si>
  <si>
    <t>(-) Debt Discount Amortization:</t>
  </si>
  <si>
    <t>Cash Interest Expense:</t>
  </si>
  <si>
    <t>PIK Interest Expense:</t>
  </si>
  <si>
    <t>Interest Income:</t>
  </si>
  <si>
    <t>Lease Interest:</t>
  </si>
  <si>
    <t>Debt Discount Amortization:</t>
  </si>
  <si>
    <t>Issuance Fee Amortization:</t>
  </si>
  <si>
    <t>Total "Interest Expense":</t>
  </si>
  <si>
    <t>"Times Interest Earned" (TIE):</t>
  </si>
  <si>
    <t>TIE Calculation:</t>
  </si>
  <si>
    <t>Count PIK Interest Expense:</t>
  </si>
  <si>
    <t>Count Interest Income:</t>
  </si>
  <si>
    <t>Count Lease Interest:</t>
  </si>
  <si>
    <t>Count Debt Discount Amort.:</t>
  </si>
  <si>
    <t>Count Issuance Fee Amort.:</t>
  </si>
  <si>
    <t>[1,0]</t>
  </si>
  <si>
    <t>Cash Interest Rate:</t>
  </si>
  <si>
    <t>PIK Interest Rate:</t>
  </si>
  <si>
    <t>Original Issue Discount (OID):</t>
  </si>
  <si>
    <t>Maturity:</t>
  </si>
  <si>
    <t># Years</t>
  </si>
  <si>
    <t>(-/+) Net Interest Expense:</t>
  </si>
  <si>
    <t>Interest Rate on Cash:</t>
  </si>
  <si>
    <t>Original Issue Discount:</t>
  </si>
  <si>
    <t>(+) PIK Interest Expense:</t>
  </si>
  <si>
    <t>(+) Debt Discount Amortization:</t>
  </si>
  <si>
    <t>(+) Issuance Fee Amortization:</t>
  </si>
  <si>
    <t>(Interest Coverage Ratio)</t>
  </si>
  <si>
    <t>Numerator:</t>
  </si>
  <si>
    <t>Financial Ratios:</t>
  </si>
  <si>
    <t>Leverage Ratio (Debt / EBITDA):</t>
  </si>
  <si>
    <t>Fixed Charge Coverage Ratio:</t>
  </si>
  <si>
    <t>Total Rent/Lease Payments:</t>
  </si>
  <si>
    <t>EBIT</t>
  </si>
  <si>
    <t>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</si>
</sst>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(&quot;$&quot;* #,##0_);_(&quot;$&quot;* \(#,##0\);_(&quot;$&quot;* &quot;-&quot;_);_(@_)"/>
    <numFmt numFmtId="41" formatCode="_(* #,##0_);_(* \(#,##0\);_(* &quot;-&quot;_);_(@_)"/>
    <numFmt numFmtId="164" formatCode="0.0\ \x"/>
    <numFmt numFmtId="165" formatCode="_(* #,##0.0_);_(* \(#,##0.0\);_(* &quot;-&quot;?_);_(@_)"/>
    <numFmt numFmtId="166" formatCode="0.0%;\(0.0%\)"/>
    <numFmt numFmtId="167" formatCode="_(* #,##0_);_(* \(#,##0\);_(* &quot;-&quot;?_);_(@_)"/>
    <numFmt numFmtId="168" formatCode="0%;\(0%\)"/>
    <numFmt numFmtId="169" formatCode="&quot;$&quot;#,##0.0_);\(&quot;$&quot;#,##0.0\);&quot;OK!&quot;;&quot;ERROR&quot;"/>
    <numFmt numFmtId="170" formatCode="_(&quot;$&quot;* #,##0_);_(&quot;$&quot;* \(#,##0\);_(&quot;$&quot;* &quot;-&quot;?_);_(@_)"/>
    <numFmt numFmtId="171" formatCode="_(* #,##0.0%;_(* \(#,##0.0%\);_(* &quot;- %&quot;_);_(* @_%_)"/>
    <numFmt numFmtId="172" formatCode="&quot;Yes&quot;;&quot;Yes&quot;;&quot;No&quot;;&quot;&quot;"/>
    <numFmt numFmtId="173" formatCode="0.0%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u/>
      <sz val="12"/>
      <color indexed="9"/>
      <name val="Calibri"/>
      <family val="2"/>
      <scheme val="minor"/>
    </font>
    <font>
      <u/>
      <sz val="12"/>
      <color indexed="9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rgb="FF0000FF"/>
      <name val="Calibri"/>
      <family val="2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i/>
      <sz val="12"/>
      <color indexed="9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1F497D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3">
    <xf numFmtId="0" fontId="0" fillId="0" borderId="0"/>
    <xf numFmtId="0" fontId="3" fillId="2" borderId="3" applyNumberFormat="0" applyFont="0" applyAlignment="0" applyProtection="0"/>
    <xf numFmtId="0" fontId="14" fillId="0" borderId="0"/>
  </cellStyleXfs>
  <cellXfs count="66">
    <xf numFmtId="0" fontId="0" fillId="0" borderId="0" xfId="0"/>
    <xf numFmtId="0" fontId="4" fillId="0" borderId="0" xfId="0" applyFont="1"/>
    <xf numFmtId="0" fontId="5" fillId="0" borderId="0" xfId="0" applyFont="1"/>
    <xf numFmtId="0" fontId="6" fillId="5" borderId="2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164" fontId="9" fillId="4" borderId="3" xfId="0" applyNumberFormat="1" applyFont="1" applyFill="1" applyBorder="1" applyAlignment="1">
      <alignment horizontal="center"/>
    </xf>
    <xf numFmtId="42" fontId="5" fillId="0" borderId="0" xfId="0" applyNumberFormat="1" applyFont="1"/>
    <xf numFmtId="166" fontId="10" fillId="4" borderId="3" xfId="1" applyNumberFormat="1" applyFont="1" applyFill="1" applyAlignment="1">
      <alignment horizontal="center"/>
    </xf>
    <xf numFmtId="41" fontId="5" fillId="0" borderId="0" xfId="0" applyNumberFormat="1" applyFont="1"/>
    <xf numFmtId="42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5" fillId="0" borderId="0" xfId="0" applyNumberFormat="1" applyFont="1"/>
    <xf numFmtId="0" fontId="5" fillId="0" borderId="0" xfId="0" applyFont="1" applyAlignment="1">
      <alignment horizontal="left" indent="1"/>
    </xf>
    <xf numFmtId="0" fontId="5" fillId="0" borderId="2" xfId="0" applyFont="1" applyBorder="1"/>
    <xf numFmtId="41" fontId="5" fillId="0" borderId="2" xfId="0" applyNumberFormat="1" applyFont="1" applyBorder="1"/>
    <xf numFmtId="42" fontId="4" fillId="0" borderId="0" xfId="0" applyNumberFormat="1" applyFont="1"/>
    <xf numFmtId="0" fontId="4" fillId="0" borderId="1" xfId="0" applyFont="1" applyBorder="1"/>
    <xf numFmtId="0" fontId="5" fillId="0" borderId="1" xfId="0" applyFont="1" applyBorder="1"/>
    <xf numFmtId="42" fontId="4" fillId="0" borderId="1" xfId="0" applyNumberFormat="1" applyFont="1" applyBorder="1"/>
    <xf numFmtId="0" fontId="11" fillId="0" borderId="0" xfId="0" applyFont="1"/>
    <xf numFmtId="0" fontId="12" fillId="0" borderId="0" xfId="0" applyFont="1" applyAlignment="1">
      <alignment horizontal="left" indent="1"/>
    </xf>
    <xf numFmtId="42" fontId="9" fillId="0" borderId="0" xfId="0" applyNumberFormat="1" applyFont="1" applyAlignment="1">
      <alignment horizontal="center"/>
    </xf>
    <xf numFmtId="167" fontId="4" fillId="0" borderId="1" xfId="0" applyNumberFormat="1" applyFont="1" applyBorder="1"/>
    <xf numFmtId="41" fontId="9" fillId="4" borderId="3" xfId="1" applyNumberFormat="1" applyFont="1" applyFill="1"/>
    <xf numFmtId="168" fontId="10" fillId="4" borderId="3" xfId="1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indent="1"/>
    </xf>
    <xf numFmtId="0" fontId="4" fillId="0" borderId="1" xfId="0" applyFont="1" applyBorder="1" applyAlignment="1">
      <alignment horizontal="left"/>
    </xf>
    <xf numFmtId="0" fontId="2" fillId="0" borderId="1" xfId="0" applyFont="1" applyBorder="1"/>
    <xf numFmtId="169" fontId="4" fillId="0" borderId="0" xfId="0" applyNumberFormat="1" applyFont="1" applyAlignment="1">
      <alignment horizontal="center"/>
    </xf>
    <xf numFmtId="0" fontId="2" fillId="0" borderId="2" xfId="0" applyFont="1" applyBorder="1"/>
    <xf numFmtId="0" fontId="12" fillId="0" borderId="0" xfId="0" applyFont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166" fontId="10" fillId="0" borderId="0" xfId="1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170" fontId="2" fillId="0" borderId="0" xfId="0" applyNumberFormat="1" applyFont="1"/>
    <xf numFmtId="167" fontId="13" fillId="0" borderId="0" xfId="2" applyNumberFormat="1" applyFont="1"/>
    <xf numFmtId="170" fontId="4" fillId="0" borderId="1" xfId="0" applyNumberFormat="1" applyFont="1" applyBorder="1"/>
    <xf numFmtId="170" fontId="10" fillId="4" borderId="3" xfId="1" applyNumberFormat="1" applyFont="1" applyFill="1" applyAlignment="1"/>
    <xf numFmtId="0" fontId="12" fillId="0" borderId="2" xfId="0" applyFont="1" applyBorder="1" applyAlignment="1">
      <alignment horizontal="center"/>
    </xf>
    <xf numFmtId="41" fontId="4" fillId="0" borderId="1" xfId="0" applyNumberFormat="1" applyFont="1" applyBorder="1"/>
    <xf numFmtId="0" fontId="4" fillId="0" borderId="0" xfId="0" applyFont="1" applyAlignment="1">
      <alignment horizontal="left"/>
    </xf>
    <xf numFmtId="170" fontId="4" fillId="0" borderId="0" xfId="0" applyNumberFormat="1" applyFont="1"/>
    <xf numFmtId="0" fontId="1" fillId="0" borderId="0" xfId="0" applyFont="1" applyAlignment="1">
      <alignment horizontal="left" indent="1"/>
    </xf>
    <xf numFmtId="0" fontId="1" fillId="0" borderId="0" xfId="0" applyFont="1"/>
    <xf numFmtId="0" fontId="1" fillId="0" borderId="2" xfId="0" applyFont="1" applyBorder="1" applyAlignment="1">
      <alignment horizontal="left" indent="1"/>
    </xf>
    <xf numFmtId="164" fontId="5" fillId="0" borderId="2" xfId="0" applyNumberFormat="1" applyFont="1" applyBorder="1"/>
    <xf numFmtId="164" fontId="1" fillId="0" borderId="0" xfId="0" applyNumberFormat="1" applyFont="1"/>
    <xf numFmtId="171" fontId="16" fillId="0" borderId="0" xfId="1" applyNumberFormat="1" applyFont="1" applyFill="1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3" borderId="2" xfId="0" applyFont="1" applyFill="1" applyBorder="1"/>
    <xf numFmtId="0" fontId="2" fillId="3" borderId="2" xfId="0" applyFont="1" applyFill="1" applyBorder="1"/>
    <xf numFmtId="166" fontId="12" fillId="0" borderId="0" xfId="0" applyNumberFormat="1" applyFont="1"/>
    <xf numFmtId="0" fontId="9" fillId="4" borderId="4" xfId="1" applyFont="1" applyFill="1" applyBorder="1" applyAlignment="1">
      <alignment horizontal="centerContinuous"/>
    </xf>
    <xf numFmtId="0" fontId="5" fillId="3" borderId="2" xfId="0" applyFont="1" applyFill="1" applyBorder="1"/>
    <xf numFmtId="172" fontId="9" fillId="4" borderId="3" xfId="1" applyNumberFormat="1" applyFont="1" applyFill="1" applyAlignment="1">
      <alignment horizontal="center"/>
    </xf>
    <xf numFmtId="41" fontId="9" fillId="0" borderId="0" xfId="0" applyNumberFormat="1" applyFont="1"/>
    <xf numFmtId="166" fontId="10" fillId="4" borderId="3" xfId="1" applyNumberFormat="1" applyFont="1" applyFill="1" applyBorder="1" applyAlignment="1">
      <alignment horizontal="center"/>
    </xf>
    <xf numFmtId="0" fontId="1" fillId="0" borderId="0" xfId="0" applyFont="1" applyAlignment="1">
      <alignment horizontal="left" indent="2"/>
    </xf>
    <xf numFmtId="173" fontId="5" fillId="0" borderId="0" xfId="0" applyNumberFormat="1" applyFont="1"/>
  </cellXfs>
  <cellStyles count="3">
    <cellStyle name="Normal" xfId="0" builtinId="0"/>
    <cellStyle name="Normal 2" xfId="2" xr:uid="{E28F3379-423F-4FF8-8C0E-ABECB8E31219}"/>
    <cellStyle name="Note" xfId="1" builtinId="10"/>
  </cellStyles>
  <dxfs count="0"/>
  <tableStyles count="0" defaultTableStyle="TableStyleMedium2" defaultPivotStyle="PivotStyleLight16"/>
  <colors>
    <mruColors>
      <color rgb="FF0000FF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Q127"/>
  <sheetViews>
    <sheetView showGridLines="0" tabSelected="1" zoomScaleNormal="100" workbookViewId="0">
      <selection activeCell="B2" sqref="B2"/>
    </sheetView>
  </sheetViews>
  <sheetFormatPr defaultColWidth="9.15234375" defaultRowHeight="15.9" outlineLevelRow="1" x14ac:dyDescent="0.45"/>
  <cols>
    <col min="1" max="2" width="2.69140625" style="2" customWidth="1"/>
    <col min="3" max="4" width="15.69140625" style="2" customWidth="1"/>
    <col min="5" max="11" width="13.69140625" style="2" customWidth="1"/>
    <col min="12" max="12" width="2.69140625" style="2" customWidth="1"/>
    <col min="13" max="15" width="13.69140625" style="2" customWidth="1"/>
    <col min="16" max="17" width="10.69140625" style="2" customWidth="1"/>
    <col min="18" max="16384" width="9.15234375" style="2"/>
  </cols>
  <sheetData>
    <row r="2" spans="2:12" ht="18.45" x14ac:dyDescent="0.5">
      <c r="B2" s="20" t="s">
        <v>67</v>
      </c>
    </row>
    <row r="3" spans="2:12" x14ac:dyDescent="0.45">
      <c r="B3" s="2" t="s">
        <v>5</v>
      </c>
    </row>
    <row r="5" spans="2:12" x14ac:dyDescent="0.45">
      <c r="B5" s="3" t="s">
        <v>48</v>
      </c>
      <c r="C5" s="4"/>
      <c r="D5" s="4"/>
      <c r="E5" s="34" t="s">
        <v>49</v>
      </c>
      <c r="F5" s="5"/>
      <c r="G5" s="4"/>
      <c r="H5" s="5"/>
      <c r="I5" s="5"/>
      <c r="J5" s="34" t="str">
        <f>$E$5</f>
        <v>Units:</v>
      </c>
      <c r="K5" s="5"/>
      <c r="L5" s="36"/>
    </row>
    <row r="7" spans="2:12" x14ac:dyDescent="0.45">
      <c r="C7" s="2" t="s">
        <v>10</v>
      </c>
      <c r="E7" s="32" t="s">
        <v>50</v>
      </c>
      <c r="F7" s="6">
        <v>8</v>
      </c>
      <c r="H7" s="2" t="s">
        <v>2</v>
      </c>
      <c r="J7" s="32" t="s">
        <v>50</v>
      </c>
      <c r="K7" s="6">
        <v>8</v>
      </c>
    </row>
    <row r="9" spans="2:12" x14ac:dyDescent="0.45">
      <c r="C9" s="1" t="s">
        <v>34</v>
      </c>
      <c r="E9" s="32" t="s">
        <v>47</v>
      </c>
      <c r="F9" s="16">
        <f>F7*F47</f>
        <v>800</v>
      </c>
      <c r="H9" s="2" t="s">
        <v>27</v>
      </c>
      <c r="J9" s="32" t="s">
        <v>44</v>
      </c>
      <c r="K9" s="8">
        <v>0.2</v>
      </c>
    </row>
    <row r="10" spans="2:12" x14ac:dyDescent="0.45">
      <c r="C10" s="27" t="s">
        <v>29</v>
      </c>
      <c r="E10" s="32" t="s">
        <v>47</v>
      </c>
      <c r="F10" s="24">
        <v>50</v>
      </c>
      <c r="H10" s="2" t="s">
        <v>4</v>
      </c>
      <c r="J10" s="32" t="s">
        <v>44</v>
      </c>
      <c r="K10" s="8">
        <v>0.25</v>
      </c>
    </row>
    <row r="11" spans="2:12" x14ac:dyDescent="0.45">
      <c r="C11" s="27" t="s">
        <v>28</v>
      </c>
      <c r="E11" s="41" t="s">
        <v>47</v>
      </c>
      <c r="F11" s="24">
        <v>-100</v>
      </c>
    </row>
    <row r="12" spans="2:12" x14ac:dyDescent="0.45">
      <c r="C12" s="17" t="s">
        <v>53</v>
      </c>
      <c r="D12" s="18"/>
      <c r="E12" s="32" t="s">
        <v>47</v>
      </c>
      <c r="F12" s="42">
        <f>SUM(F9:F11)</f>
        <v>750</v>
      </c>
      <c r="H12" s="26" t="s">
        <v>43</v>
      </c>
      <c r="J12" s="32" t="s">
        <v>44</v>
      </c>
      <c r="K12" s="8">
        <v>0.01</v>
      </c>
    </row>
    <row r="13" spans="2:12" x14ac:dyDescent="0.45">
      <c r="H13" s="26" t="s">
        <v>45</v>
      </c>
      <c r="J13" s="32" t="s">
        <v>44</v>
      </c>
      <c r="K13" s="8">
        <v>0.02</v>
      </c>
      <c r="L13" s="35"/>
    </row>
    <row r="14" spans="2:12" x14ac:dyDescent="0.45">
      <c r="C14" s="26" t="s">
        <v>51</v>
      </c>
      <c r="E14" s="32" t="s">
        <v>50</v>
      </c>
      <c r="F14" s="6">
        <v>5</v>
      </c>
      <c r="H14" s="26"/>
      <c r="J14" s="26"/>
      <c r="K14" s="26"/>
    </row>
    <row r="15" spans="2:12" x14ac:dyDescent="0.45">
      <c r="C15" s="26" t="s">
        <v>6</v>
      </c>
      <c r="E15" s="32" t="s">
        <v>47</v>
      </c>
      <c r="F15" s="9">
        <f>F14*F47</f>
        <v>500</v>
      </c>
      <c r="H15" s="26" t="s">
        <v>46</v>
      </c>
      <c r="J15" s="32" t="s">
        <v>47</v>
      </c>
      <c r="K15" s="40">
        <v>2</v>
      </c>
    </row>
    <row r="16" spans="2:12" x14ac:dyDescent="0.45">
      <c r="G16" s="12"/>
    </row>
    <row r="17" spans="2:11" x14ac:dyDescent="0.45">
      <c r="C17" s="46" t="s">
        <v>93</v>
      </c>
      <c r="E17" s="32" t="s">
        <v>44</v>
      </c>
      <c r="F17" s="8">
        <v>0.05</v>
      </c>
      <c r="H17" s="56" t="s">
        <v>84</v>
      </c>
      <c r="I17" s="60"/>
      <c r="J17" s="60"/>
      <c r="K17" s="60"/>
    </row>
    <row r="18" spans="2:11" x14ac:dyDescent="0.45">
      <c r="C18" s="46" t="s">
        <v>94</v>
      </c>
      <c r="E18" s="32" t="s">
        <v>95</v>
      </c>
      <c r="F18" s="24">
        <v>5</v>
      </c>
      <c r="H18" s="45" t="s">
        <v>103</v>
      </c>
      <c r="J18" s="32" t="s">
        <v>64</v>
      </c>
      <c r="K18" s="59" t="s">
        <v>108</v>
      </c>
    </row>
    <row r="19" spans="2:11" x14ac:dyDescent="0.45">
      <c r="C19" s="46" t="s">
        <v>62</v>
      </c>
      <c r="E19" s="32" t="s">
        <v>44</v>
      </c>
      <c r="F19" s="63">
        <v>0.5</v>
      </c>
      <c r="H19" s="64" t="s">
        <v>108</v>
      </c>
      <c r="J19" s="32" t="s">
        <v>64</v>
      </c>
    </row>
    <row r="20" spans="2:11" x14ac:dyDescent="0.45">
      <c r="C20" s="46"/>
      <c r="E20" s="32"/>
      <c r="F20" s="35"/>
      <c r="H20" s="64" t="s">
        <v>109</v>
      </c>
      <c r="J20" s="32" t="s">
        <v>64</v>
      </c>
    </row>
    <row r="21" spans="2:11" x14ac:dyDescent="0.45">
      <c r="C21" s="46" t="s">
        <v>91</v>
      </c>
      <c r="E21" s="32" t="s">
        <v>44</v>
      </c>
      <c r="F21" s="8">
        <v>0.08</v>
      </c>
    </row>
    <row r="22" spans="2:11" x14ac:dyDescent="0.45">
      <c r="C22" s="46" t="s">
        <v>92</v>
      </c>
      <c r="E22" s="32" t="s">
        <v>44</v>
      </c>
      <c r="F22" s="8">
        <v>0.02</v>
      </c>
      <c r="G22" s="65"/>
      <c r="H22" s="45" t="s">
        <v>85</v>
      </c>
      <c r="J22" s="32" t="s">
        <v>90</v>
      </c>
      <c r="K22" s="61">
        <v>1</v>
      </c>
    </row>
    <row r="23" spans="2:11" x14ac:dyDescent="0.45">
      <c r="G23" s="65"/>
      <c r="H23" s="45" t="s">
        <v>86</v>
      </c>
      <c r="J23" s="32" t="s">
        <v>90</v>
      </c>
      <c r="K23" s="61">
        <v>0</v>
      </c>
    </row>
    <row r="24" spans="2:11" x14ac:dyDescent="0.45">
      <c r="C24" s="46" t="s">
        <v>97</v>
      </c>
      <c r="E24" s="32" t="s">
        <v>44</v>
      </c>
      <c r="F24" s="8">
        <v>0.03</v>
      </c>
      <c r="H24" s="45" t="s">
        <v>87</v>
      </c>
      <c r="J24" s="32" t="s">
        <v>90</v>
      </c>
      <c r="K24" s="61">
        <v>0</v>
      </c>
    </row>
    <row r="25" spans="2:11" x14ac:dyDescent="0.45">
      <c r="H25" s="45" t="s">
        <v>88</v>
      </c>
      <c r="J25" s="32" t="s">
        <v>90</v>
      </c>
      <c r="K25" s="61">
        <v>1</v>
      </c>
    </row>
    <row r="26" spans="2:11" x14ac:dyDescent="0.45">
      <c r="H26" s="45" t="s">
        <v>89</v>
      </c>
      <c r="J26" s="32" t="s">
        <v>90</v>
      </c>
      <c r="K26" s="61">
        <v>1</v>
      </c>
    </row>
    <row r="28" spans="2:11" x14ac:dyDescent="0.45">
      <c r="B28" s="3" t="s">
        <v>35</v>
      </c>
      <c r="C28" s="4"/>
      <c r="D28" s="4"/>
      <c r="E28" s="34" t="str">
        <f>$E$5</f>
        <v>Units:</v>
      </c>
      <c r="F28" s="4"/>
      <c r="G28" s="4"/>
      <c r="H28" s="5"/>
      <c r="I28" s="5"/>
      <c r="J28" s="34" t="str">
        <f>$E$5</f>
        <v>Units:</v>
      </c>
      <c r="K28" s="5"/>
    </row>
    <row r="30" spans="2:11" x14ac:dyDescent="0.45">
      <c r="C30" s="56" t="s">
        <v>41</v>
      </c>
      <c r="D30" s="57"/>
      <c r="E30" s="56"/>
      <c r="F30" s="56"/>
      <c r="H30" s="56" t="s">
        <v>36</v>
      </c>
      <c r="I30" s="57"/>
      <c r="J30" s="57"/>
      <c r="K30" s="57"/>
    </row>
    <row r="31" spans="2:11" x14ac:dyDescent="0.45">
      <c r="C31" s="27" t="s">
        <v>54</v>
      </c>
      <c r="D31" s="26"/>
      <c r="E31" s="32" t="s">
        <v>47</v>
      </c>
      <c r="F31" s="37">
        <f>F15</f>
        <v>500</v>
      </c>
      <c r="H31" s="45" t="s">
        <v>34</v>
      </c>
      <c r="I31" s="26"/>
      <c r="J31" s="32" t="s">
        <v>47</v>
      </c>
      <c r="K31" s="37">
        <f>F9</f>
        <v>800</v>
      </c>
    </row>
    <row r="32" spans="2:11" x14ac:dyDescent="0.45">
      <c r="C32" s="27" t="s">
        <v>52</v>
      </c>
      <c r="D32" s="31"/>
      <c r="E32" s="41" t="s">
        <v>47</v>
      </c>
      <c r="F32" s="38">
        <f>K36-F31</f>
        <v>364.5</v>
      </c>
      <c r="H32" s="27" t="s">
        <v>37</v>
      </c>
      <c r="I32" s="26"/>
      <c r="J32" s="32" t="s">
        <v>47</v>
      </c>
      <c r="K32" s="38">
        <f>K12*F12+K15</f>
        <v>9.5</v>
      </c>
    </row>
    <row r="33" spans="2:12" x14ac:dyDescent="0.45">
      <c r="C33" s="28" t="s">
        <v>42</v>
      </c>
      <c r="D33" s="26"/>
      <c r="E33" s="32" t="s">
        <v>47</v>
      </c>
      <c r="F33" s="39">
        <f>SUM(F31:F32)</f>
        <v>864.5</v>
      </c>
      <c r="H33" s="27" t="s">
        <v>38</v>
      </c>
      <c r="I33" s="26"/>
      <c r="J33" s="32" t="s">
        <v>47</v>
      </c>
      <c r="K33" s="38">
        <f>K13*F15</f>
        <v>10</v>
      </c>
    </row>
    <row r="34" spans="2:12" x14ac:dyDescent="0.45">
      <c r="C34" s="43"/>
      <c r="D34" s="26"/>
      <c r="E34" s="32"/>
      <c r="F34" s="44"/>
      <c r="H34" s="45" t="s">
        <v>98</v>
      </c>
      <c r="I34" s="26"/>
      <c r="J34" s="32" t="s">
        <v>47</v>
      </c>
      <c r="K34" s="38">
        <f>F15*F17</f>
        <v>25</v>
      </c>
    </row>
    <row r="35" spans="2:12" x14ac:dyDescent="0.45">
      <c r="C35" s="43"/>
      <c r="D35" s="26"/>
      <c r="F35" s="44"/>
      <c r="H35" s="45" t="s">
        <v>55</v>
      </c>
      <c r="I35" s="26"/>
      <c r="J35" s="41" t="s">
        <v>47</v>
      </c>
      <c r="K35" s="38">
        <f>K9*F47</f>
        <v>20</v>
      </c>
    </row>
    <row r="36" spans="2:12" x14ac:dyDescent="0.45">
      <c r="H36" s="28" t="s">
        <v>39</v>
      </c>
      <c r="I36" s="29"/>
      <c r="J36" s="32" t="s">
        <v>47</v>
      </c>
      <c r="K36" s="39">
        <f>SUM(K31:K35)</f>
        <v>864.5</v>
      </c>
    </row>
    <row r="37" spans="2:12" x14ac:dyDescent="0.45">
      <c r="H37" s="26"/>
      <c r="I37" s="26"/>
      <c r="J37" s="26"/>
      <c r="K37" s="26"/>
      <c r="L37" s="26"/>
    </row>
    <row r="38" spans="2:12" x14ac:dyDescent="0.45">
      <c r="H38" s="1" t="s">
        <v>40</v>
      </c>
      <c r="I38" s="26"/>
      <c r="J38" s="26"/>
      <c r="K38" s="30">
        <f>F33-K36</f>
        <v>0</v>
      </c>
      <c r="L38" s="30"/>
    </row>
    <row r="40" spans="2:12" x14ac:dyDescent="0.45">
      <c r="B40" s="3" t="s">
        <v>7</v>
      </c>
      <c r="C40" s="4"/>
      <c r="D40" s="4"/>
      <c r="E40" s="34" t="str">
        <f>$E$5</f>
        <v>Units:</v>
      </c>
      <c r="F40" s="33" t="str">
        <f>"Year "&amp;$F$42</f>
        <v>Year 0</v>
      </c>
      <c r="G40" s="33" t="str">
        <f>"Year "&amp;$G$42</f>
        <v>Year 1</v>
      </c>
      <c r="H40" s="33" t="str">
        <f>"Year "&amp;$H$42</f>
        <v>Year 2</v>
      </c>
      <c r="I40" s="33" t="str">
        <f>"Year "&amp;$I$42</f>
        <v>Year 3</v>
      </c>
      <c r="J40" s="33" t="str">
        <f>"Year "&amp;$J$42</f>
        <v>Year 4</v>
      </c>
      <c r="K40" s="33" t="str">
        <f>"Year "&amp;$K$42</f>
        <v>Year 5</v>
      </c>
    </row>
    <row r="41" spans="2:12" x14ac:dyDescent="0.45">
      <c r="B41" s="51"/>
      <c r="C41" s="52"/>
      <c r="D41" s="52"/>
      <c r="E41" s="52"/>
      <c r="F41" s="53"/>
      <c r="G41" s="53"/>
      <c r="H41" s="53"/>
      <c r="I41" s="53"/>
      <c r="J41" s="53"/>
      <c r="K41" s="53"/>
    </row>
    <row r="42" spans="2:12" x14ac:dyDescent="0.45">
      <c r="B42" s="51"/>
      <c r="C42" s="2" t="s">
        <v>60</v>
      </c>
      <c r="D42" s="52"/>
      <c r="E42" s="32" t="s">
        <v>61</v>
      </c>
      <c r="F42" s="55">
        <v>0</v>
      </c>
      <c r="G42" s="54">
        <f>F42+1</f>
        <v>1</v>
      </c>
      <c r="H42" s="54">
        <f t="shared" ref="H42:K42" si="0">G42+1</f>
        <v>2</v>
      </c>
      <c r="I42" s="54">
        <f t="shared" si="0"/>
        <v>3</v>
      </c>
      <c r="J42" s="54">
        <f t="shared" si="0"/>
        <v>4</v>
      </c>
      <c r="K42" s="54">
        <f t="shared" si="0"/>
        <v>5</v>
      </c>
    </row>
    <row r="43" spans="2:12" x14ac:dyDescent="0.45">
      <c r="B43" s="51"/>
      <c r="C43" s="52"/>
      <c r="D43" s="52"/>
      <c r="E43" s="52"/>
      <c r="F43" s="53"/>
      <c r="G43" s="53"/>
      <c r="H43" s="53"/>
      <c r="I43" s="53"/>
      <c r="J43" s="53"/>
      <c r="K43" s="53"/>
    </row>
    <row r="44" spans="2:12" x14ac:dyDescent="0.45">
      <c r="B44" s="1"/>
      <c r="C44" s="2" t="s">
        <v>8</v>
      </c>
      <c r="E44" s="32" t="s">
        <v>47</v>
      </c>
      <c r="F44" s="22">
        <v>250</v>
      </c>
      <c r="G44" s="10">
        <f>F44*(1+G45)</f>
        <v>275</v>
      </c>
      <c r="H44" s="10">
        <f t="shared" ref="H44:K44" si="1">G44*(1+H45)</f>
        <v>297</v>
      </c>
      <c r="I44" s="10">
        <f t="shared" si="1"/>
        <v>314.82</v>
      </c>
      <c r="J44" s="10">
        <f t="shared" si="1"/>
        <v>330.56099999999998</v>
      </c>
      <c r="K44" s="10">
        <f t="shared" si="1"/>
        <v>347.08904999999999</v>
      </c>
    </row>
    <row r="45" spans="2:12" x14ac:dyDescent="0.45">
      <c r="B45" s="1"/>
      <c r="C45" s="13" t="s">
        <v>14</v>
      </c>
      <c r="E45" s="32" t="s">
        <v>44</v>
      </c>
      <c r="F45" s="11"/>
      <c r="G45" s="25">
        <v>0.1</v>
      </c>
      <c r="H45" s="25">
        <v>0.08</v>
      </c>
      <c r="I45" s="25">
        <v>0.06</v>
      </c>
      <c r="J45" s="25">
        <v>0.05</v>
      </c>
      <c r="K45" s="25">
        <v>0.05</v>
      </c>
    </row>
    <row r="46" spans="2:12" x14ac:dyDescent="0.45">
      <c r="B46" s="1"/>
      <c r="F46" s="11"/>
      <c r="G46" s="11"/>
      <c r="H46" s="11"/>
      <c r="I46" s="11"/>
      <c r="J46" s="11"/>
      <c r="K46" s="11"/>
    </row>
    <row r="47" spans="2:12" x14ac:dyDescent="0.45">
      <c r="C47" s="2" t="s">
        <v>3</v>
      </c>
      <c r="E47" s="32" t="s">
        <v>47</v>
      </c>
      <c r="F47" s="9">
        <f>F44*F48</f>
        <v>100</v>
      </c>
      <c r="G47" s="9">
        <f t="shared" ref="G47:K47" si="2">G44*G48</f>
        <v>112.75</v>
      </c>
      <c r="H47" s="9">
        <f t="shared" si="2"/>
        <v>124.74</v>
      </c>
      <c r="I47" s="9">
        <f t="shared" si="2"/>
        <v>135.37260000000001</v>
      </c>
      <c r="J47" s="9">
        <f t="shared" si="2"/>
        <v>145.44683999999998</v>
      </c>
      <c r="K47" s="9">
        <f t="shared" si="2"/>
        <v>156.19007249999999</v>
      </c>
    </row>
    <row r="48" spans="2:12" x14ac:dyDescent="0.45">
      <c r="C48" s="13" t="s">
        <v>15</v>
      </c>
      <c r="E48" s="32" t="s">
        <v>44</v>
      </c>
      <c r="F48" s="25">
        <v>0.4</v>
      </c>
      <c r="G48" s="25">
        <v>0.41</v>
      </c>
      <c r="H48" s="25">
        <v>0.42</v>
      </c>
      <c r="I48" s="25">
        <v>0.43</v>
      </c>
      <c r="J48" s="25">
        <v>0.44</v>
      </c>
      <c r="K48" s="25">
        <v>0.45</v>
      </c>
    </row>
    <row r="50" spans="3:17" x14ac:dyDescent="0.45">
      <c r="C50" s="2" t="s">
        <v>16</v>
      </c>
      <c r="E50" s="32" t="s">
        <v>47</v>
      </c>
      <c r="G50" s="9">
        <f>-G44*G51</f>
        <v>-33</v>
      </c>
      <c r="H50" s="9">
        <f t="shared" ref="H50:K50" si="3">-H44*H51</f>
        <v>-32.67</v>
      </c>
      <c r="I50" s="9">
        <f t="shared" si="3"/>
        <v>-31.481999999999999</v>
      </c>
      <c r="J50" s="9">
        <f t="shared" si="3"/>
        <v>-29.750489999999996</v>
      </c>
      <c r="K50" s="9">
        <f t="shared" si="3"/>
        <v>-27.767123999999999</v>
      </c>
    </row>
    <row r="51" spans="3:17" x14ac:dyDescent="0.45">
      <c r="C51" s="13" t="s">
        <v>22</v>
      </c>
      <c r="E51" s="32" t="s">
        <v>44</v>
      </c>
      <c r="G51" s="25">
        <v>0.12</v>
      </c>
      <c r="H51" s="25">
        <v>0.11</v>
      </c>
      <c r="I51" s="25">
        <v>0.1</v>
      </c>
      <c r="J51" s="25">
        <v>0.09</v>
      </c>
      <c r="K51" s="25">
        <v>0.08</v>
      </c>
    </row>
    <row r="52" spans="3:17" x14ac:dyDescent="0.45">
      <c r="G52" s="9"/>
      <c r="H52" s="9"/>
      <c r="I52" s="9"/>
      <c r="J52" s="9"/>
      <c r="K52" s="9"/>
    </row>
    <row r="53" spans="3:17" x14ac:dyDescent="0.45">
      <c r="C53" s="45" t="s">
        <v>70</v>
      </c>
      <c r="E53" s="32" t="s">
        <v>47</v>
      </c>
      <c r="G53" s="9">
        <f>-F109*Cash_Interest</f>
        <v>-40</v>
      </c>
      <c r="H53" s="9">
        <f>-G109*Cash_Interest</f>
        <v>-39.191500000000005</v>
      </c>
      <c r="I53" s="9">
        <f>-H109*Cash_Interest</f>
        <v>-37.531045625000004</v>
      </c>
      <c r="J53" s="9">
        <f>-I109*Cash_Interest</f>
        <v>-35.021987680468754</v>
      </c>
      <c r="K53" s="9">
        <f>-J109*Cash_Interest</f>
        <v>-31.646380619540043</v>
      </c>
    </row>
    <row r="54" spans="3:17" x14ac:dyDescent="0.45">
      <c r="C54" s="45" t="s">
        <v>72</v>
      </c>
      <c r="E54" s="32" t="s">
        <v>47</v>
      </c>
      <c r="G54" s="9">
        <f>-F109*PIK_Interest</f>
        <v>-10</v>
      </c>
      <c r="H54" s="9">
        <f>-G109*PIK_Interest</f>
        <v>-9.7978750000000012</v>
      </c>
      <c r="I54" s="9">
        <f>-H109*PIK_Interest</f>
        <v>-9.3827614062500011</v>
      </c>
      <c r="J54" s="9">
        <f>-I109*PIK_Interest</f>
        <v>-8.7554969201171886</v>
      </c>
      <c r="K54" s="9">
        <f>-J109*PIK_Interest</f>
        <v>-7.9115951548850107</v>
      </c>
    </row>
    <row r="55" spans="3:17" x14ac:dyDescent="0.45">
      <c r="C55" s="45" t="s">
        <v>73</v>
      </c>
      <c r="E55" s="32" t="s">
        <v>47</v>
      </c>
      <c r="G55" s="9">
        <f>F110*Int_On_Cash</f>
        <v>0.6</v>
      </c>
      <c r="H55" s="9">
        <f>G110*Int_On_Cash</f>
        <v>0.97968749999999993</v>
      </c>
      <c r="I55" s="9">
        <f>H110*Int_On_Cash</f>
        <v>1.371110390625</v>
      </c>
      <c r="J55" s="9">
        <f>I110*Int_On_Cash</f>
        <v>1.7531323291992189</v>
      </c>
      <c r="K55" s="9">
        <f>J110*Int_On_Cash</f>
        <v>2.1385336878482661</v>
      </c>
    </row>
    <row r="56" spans="3:17" x14ac:dyDescent="0.45">
      <c r="C56" s="45" t="s">
        <v>71</v>
      </c>
      <c r="E56" s="32" t="s">
        <v>47</v>
      </c>
      <c r="G56" s="62">
        <v>-5</v>
      </c>
      <c r="H56" s="62">
        <v>-5</v>
      </c>
      <c r="I56" s="62">
        <v>-6</v>
      </c>
      <c r="J56" s="62">
        <v>-6</v>
      </c>
      <c r="K56" s="62">
        <v>-6</v>
      </c>
    </row>
    <row r="57" spans="3:17" x14ac:dyDescent="0.45">
      <c r="C57" s="45" t="s">
        <v>75</v>
      </c>
      <c r="E57" s="32" t="s">
        <v>47</v>
      </c>
      <c r="G57" s="9">
        <f>-OID/Debt_Maturity</f>
        <v>-5</v>
      </c>
      <c r="H57" s="9">
        <f>-OID/Debt_Maturity</f>
        <v>-5</v>
      </c>
      <c r="I57" s="9">
        <f>-OID/Debt_Maturity</f>
        <v>-5</v>
      </c>
      <c r="J57" s="9">
        <f>-OID/Debt_Maturity</f>
        <v>-5</v>
      </c>
      <c r="K57" s="9">
        <f>-OID/Debt_Maturity</f>
        <v>-5</v>
      </c>
    </row>
    <row r="58" spans="3:17" x14ac:dyDescent="0.45">
      <c r="C58" s="45" t="s">
        <v>74</v>
      </c>
      <c r="E58" s="41" t="s">
        <v>47</v>
      </c>
      <c r="G58" s="9">
        <f>-Fin_Fees/Debt_Maturity</f>
        <v>-2</v>
      </c>
      <c r="H58" s="9">
        <f>-Fin_Fees/Debt_Maturity</f>
        <v>-2</v>
      </c>
      <c r="I58" s="9">
        <f>-Fin_Fees/Debt_Maturity</f>
        <v>-2</v>
      </c>
      <c r="J58" s="9">
        <f>-Fin_Fees/Debt_Maturity</f>
        <v>-2</v>
      </c>
      <c r="K58" s="9">
        <f>-Fin_Fees/Debt_Maturity</f>
        <v>-2</v>
      </c>
    </row>
    <row r="59" spans="3:17" x14ac:dyDescent="0.45">
      <c r="C59" s="17" t="s">
        <v>96</v>
      </c>
      <c r="D59" s="18"/>
      <c r="E59" s="32" t="s">
        <v>47</v>
      </c>
      <c r="F59" s="18"/>
      <c r="G59" s="42">
        <f>SUM(G53:G58)</f>
        <v>-61.4</v>
      </c>
      <c r="H59" s="42">
        <f t="shared" ref="H59:K59" si="4">SUM(H53:H58)</f>
        <v>-60.009687500000013</v>
      </c>
      <c r="I59" s="42">
        <f t="shared" si="4"/>
        <v>-58.542696640625003</v>
      </c>
      <c r="J59" s="42">
        <f t="shared" si="4"/>
        <v>-55.024352271386725</v>
      </c>
      <c r="K59" s="42">
        <f t="shared" si="4"/>
        <v>-50.419442086576787</v>
      </c>
    </row>
    <row r="60" spans="3:17" x14ac:dyDescent="0.45">
      <c r="G60" s="9"/>
      <c r="H60" s="9"/>
      <c r="I60" s="9"/>
      <c r="J60" s="9"/>
      <c r="K60" s="9"/>
    </row>
    <row r="61" spans="3:17" x14ac:dyDescent="0.45">
      <c r="C61" s="2" t="s">
        <v>9</v>
      </c>
      <c r="E61" s="32" t="s">
        <v>47</v>
      </c>
      <c r="G61" s="9">
        <f>G47+G50+G59</f>
        <v>18.350000000000001</v>
      </c>
      <c r="H61" s="9">
        <f t="shared" ref="H61:K61" si="5">H47+H50+H59</f>
        <v>32.060312499999981</v>
      </c>
      <c r="I61" s="9">
        <f t="shared" si="5"/>
        <v>45.347903359375003</v>
      </c>
      <c r="J61" s="9">
        <f t="shared" si="5"/>
        <v>60.671997728613256</v>
      </c>
      <c r="K61" s="9">
        <f t="shared" si="5"/>
        <v>78.003506413423196</v>
      </c>
      <c r="M61" s="62"/>
      <c r="N61" s="62"/>
      <c r="O61" s="62"/>
      <c r="P61" s="62"/>
      <c r="Q61" s="62"/>
    </row>
    <row r="62" spans="3:17" x14ac:dyDescent="0.45">
      <c r="C62" s="13" t="s">
        <v>17</v>
      </c>
      <c r="E62" s="41" t="s">
        <v>47</v>
      </c>
      <c r="G62" s="9">
        <f>-G61*Tax_Rate</f>
        <v>-4.5875000000000004</v>
      </c>
      <c r="H62" s="9">
        <f>-H61*Tax_Rate</f>
        <v>-8.0150781249999952</v>
      </c>
      <c r="I62" s="9">
        <f>-I61*Tax_Rate</f>
        <v>-11.336975839843751</v>
      </c>
      <c r="J62" s="9">
        <f>-J61*Tax_Rate</f>
        <v>-15.167999432153314</v>
      </c>
      <c r="K62" s="9">
        <f>-K61*Tax_Rate</f>
        <v>-19.500876603355799</v>
      </c>
    </row>
    <row r="63" spans="3:17" x14ac:dyDescent="0.45">
      <c r="C63" s="17" t="s">
        <v>0</v>
      </c>
      <c r="D63" s="18"/>
      <c r="E63" s="32" t="s">
        <v>47</v>
      </c>
      <c r="F63" s="18"/>
      <c r="G63" s="19">
        <f>SUM(G61:G62)</f>
        <v>13.762500000000001</v>
      </c>
      <c r="H63" s="19">
        <f t="shared" ref="H63:K63" si="6">SUM(H61:H62)</f>
        <v>24.045234374999986</v>
      </c>
      <c r="I63" s="19">
        <f t="shared" si="6"/>
        <v>34.010927519531251</v>
      </c>
      <c r="J63" s="19">
        <f t="shared" si="6"/>
        <v>45.50399829645994</v>
      </c>
      <c r="K63" s="19">
        <f t="shared" si="6"/>
        <v>58.502629810067397</v>
      </c>
    </row>
    <row r="65" spans="2:11" x14ac:dyDescent="0.45">
      <c r="B65" s="3" t="s">
        <v>104</v>
      </c>
      <c r="C65" s="4"/>
      <c r="D65" s="4"/>
      <c r="E65" s="34" t="str">
        <f>$E$5</f>
        <v>Units:</v>
      </c>
      <c r="F65" s="33" t="str">
        <f>"Year "&amp;$F$42</f>
        <v>Year 0</v>
      </c>
      <c r="G65" s="33" t="str">
        <f>"Year "&amp;$G$42</f>
        <v>Year 1</v>
      </c>
      <c r="H65" s="33" t="str">
        <f>"Year "&amp;$H$42</f>
        <v>Year 2</v>
      </c>
      <c r="I65" s="33" t="str">
        <f>"Year "&amp;$I$42</f>
        <v>Year 3</v>
      </c>
      <c r="J65" s="33" t="str">
        <f>"Year "&amp;$J$42</f>
        <v>Year 4</v>
      </c>
      <c r="K65" s="33" t="str">
        <f>"Year "&amp;$K$42</f>
        <v>Year 5</v>
      </c>
    </row>
    <row r="67" spans="2:11" x14ac:dyDescent="0.45">
      <c r="C67" s="1" t="s">
        <v>68</v>
      </c>
    </row>
    <row r="68" spans="2:11" x14ac:dyDescent="0.45">
      <c r="C68" s="13" t="str">
        <f>TIE_Numerator&amp;":"</f>
        <v>EBIT:</v>
      </c>
      <c r="E68" s="32" t="s">
        <v>47</v>
      </c>
      <c r="G68" s="7">
        <f>IF(TIE_Numerator=$H$20,G47,G47+G50)</f>
        <v>79.75</v>
      </c>
      <c r="H68" s="7">
        <f>IF(TIE_Numerator=$H$20,H47,H47+H50)</f>
        <v>92.07</v>
      </c>
      <c r="I68" s="7">
        <f>IF(TIE_Numerator=$H$20,I47,I47+I50)</f>
        <v>103.89060000000001</v>
      </c>
      <c r="J68" s="7">
        <f>IF(TIE_Numerator=$H$20,J47,J47+J50)</f>
        <v>115.69634999999998</v>
      </c>
      <c r="K68" s="7">
        <f>IF(TIE_Numerator=$H$20,K47,K47+K50)</f>
        <v>128.42294849999999</v>
      </c>
    </row>
    <row r="70" spans="2:11" x14ac:dyDescent="0.45">
      <c r="C70" s="1" t="s">
        <v>69</v>
      </c>
    </row>
    <row r="71" spans="2:11" x14ac:dyDescent="0.45">
      <c r="C71" s="45" t="s">
        <v>76</v>
      </c>
      <c r="E71" s="32" t="s">
        <v>47</v>
      </c>
      <c r="G71" s="9">
        <f>-G53</f>
        <v>40</v>
      </c>
      <c r="H71" s="9">
        <f t="shared" ref="H71:K71" si="7">-H53</f>
        <v>39.191500000000005</v>
      </c>
      <c r="I71" s="9">
        <f t="shared" si="7"/>
        <v>37.531045625000004</v>
      </c>
      <c r="J71" s="9">
        <f t="shared" si="7"/>
        <v>35.021987680468754</v>
      </c>
      <c r="K71" s="9">
        <f t="shared" si="7"/>
        <v>31.646380619540043</v>
      </c>
    </row>
    <row r="72" spans="2:11" x14ac:dyDescent="0.45">
      <c r="C72" s="45" t="s">
        <v>77</v>
      </c>
      <c r="E72" s="32" t="s">
        <v>47</v>
      </c>
      <c r="G72" s="9">
        <f>-G54*$K22</f>
        <v>10</v>
      </c>
      <c r="H72" s="9">
        <f t="shared" ref="H72:K72" si="8">-H54*$K22</f>
        <v>9.7978750000000012</v>
      </c>
      <c r="I72" s="9">
        <f t="shared" si="8"/>
        <v>9.3827614062500011</v>
      </c>
      <c r="J72" s="9">
        <f t="shared" si="8"/>
        <v>8.7554969201171886</v>
      </c>
      <c r="K72" s="9">
        <f t="shared" si="8"/>
        <v>7.9115951548850107</v>
      </c>
    </row>
    <row r="73" spans="2:11" x14ac:dyDescent="0.45">
      <c r="C73" s="45" t="s">
        <v>78</v>
      </c>
      <c r="E73" s="32" t="s">
        <v>47</v>
      </c>
      <c r="G73" s="9">
        <f>-G55*$K23</f>
        <v>0</v>
      </c>
      <c r="H73" s="9">
        <f t="shared" ref="H73:K73" si="9">-H55*$K23</f>
        <v>0</v>
      </c>
      <c r="I73" s="9">
        <f t="shared" si="9"/>
        <v>0</v>
      </c>
      <c r="J73" s="9">
        <f t="shared" si="9"/>
        <v>0</v>
      </c>
      <c r="K73" s="9">
        <f t="shared" si="9"/>
        <v>0</v>
      </c>
    </row>
    <row r="74" spans="2:11" x14ac:dyDescent="0.45">
      <c r="C74" s="45" t="s">
        <v>79</v>
      </c>
      <c r="E74" s="32" t="s">
        <v>47</v>
      </c>
      <c r="G74" s="9">
        <f>-G56*$K24</f>
        <v>0</v>
      </c>
      <c r="H74" s="9">
        <f t="shared" ref="H74:K74" si="10">-H56*$K24</f>
        <v>0</v>
      </c>
      <c r="I74" s="9">
        <f t="shared" si="10"/>
        <v>0</v>
      </c>
      <c r="J74" s="9">
        <f t="shared" si="10"/>
        <v>0</v>
      </c>
      <c r="K74" s="9">
        <f t="shared" si="10"/>
        <v>0</v>
      </c>
    </row>
    <row r="75" spans="2:11" x14ac:dyDescent="0.45">
      <c r="C75" s="45" t="s">
        <v>80</v>
      </c>
      <c r="E75" s="32" t="s">
        <v>47</v>
      </c>
      <c r="G75" s="9">
        <f>-G57*$K25</f>
        <v>5</v>
      </c>
      <c r="H75" s="9">
        <f t="shared" ref="H75:K75" si="11">-H57*$K25</f>
        <v>5</v>
      </c>
      <c r="I75" s="9">
        <f t="shared" si="11"/>
        <v>5</v>
      </c>
      <c r="J75" s="9">
        <f t="shared" si="11"/>
        <v>5</v>
      </c>
      <c r="K75" s="9">
        <f t="shared" si="11"/>
        <v>5</v>
      </c>
    </row>
    <row r="76" spans="2:11" x14ac:dyDescent="0.45">
      <c r="C76" s="45" t="s">
        <v>81</v>
      </c>
      <c r="E76" s="41" t="s">
        <v>47</v>
      </c>
      <c r="G76" s="9">
        <f>-G58*$K26</f>
        <v>2</v>
      </c>
      <c r="H76" s="9">
        <f t="shared" ref="H76:K76" si="12">-H58*$K26</f>
        <v>2</v>
      </c>
      <c r="I76" s="9">
        <f t="shared" si="12"/>
        <v>2</v>
      </c>
      <c r="J76" s="9">
        <f t="shared" si="12"/>
        <v>2</v>
      </c>
      <c r="K76" s="9">
        <f t="shared" si="12"/>
        <v>2</v>
      </c>
    </row>
    <row r="77" spans="2:11" x14ac:dyDescent="0.45">
      <c r="C77" s="17" t="s">
        <v>82</v>
      </c>
      <c r="D77" s="18"/>
      <c r="E77" s="32" t="s">
        <v>47</v>
      </c>
      <c r="F77" s="18"/>
      <c r="G77" s="19">
        <f>SUM(G71:G76)</f>
        <v>57</v>
      </c>
      <c r="H77" s="19">
        <f t="shared" ref="H77:K77" si="13">SUM(H71:H76)</f>
        <v>55.98937500000001</v>
      </c>
      <c r="I77" s="19">
        <f t="shared" si="13"/>
        <v>53.913807031250002</v>
      </c>
      <c r="J77" s="19">
        <f t="shared" si="13"/>
        <v>50.777484600585943</v>
      </c>
      <c r="K77" s="19">
        <f t="shared" si="13"/>
        <v>46.557975774425053</v>
      </c>
    </row>
    <row r="79" spans="2:11" x14ac:dyDescent="0.45">
      <c r="C79" s="46" t="s">
        <v>83</v>
      </c>
      <c r="E79" s="32" t="s">
        <v>50</v>
      </c>
      <c r="G79" s="49">
        <f>G68/G77</f>
        <v>1.3991228070175439</v>
      </c>
      <c r="H79" s="49">
        <f t="shared" ref="H79:K79" si="14">H68/H77</f>
        <v>1.6444191420247141</v>
      </c>
      <c r="I79" s="49">
        <f t="shared" si="14"/>
        <v>1.9269757733817983</v>
      </c>
      <c r="J79" s="49">
        <f t="shared" si="14"/>
        <v>2.278497072276497</v>
      </c>
      <c r="K79" s="49">
        <f t="shared" si="14"/>
        <v>2.7583447597080566</v>
      </c>
    </row>
    <row r="80" spans="2:11" x14ac:dyDescent="0.45">
      <c r="C80" s="45" t="s">
        <v>102</v>
      </c>
    </row>
    <row r="82" spans="2:11" outlineLevel="1" x14ac:dyDescent="0.45">
      <c r="C82" s="46" t="s">
        <v>105</v>
      </c>
      <c r="E82" s="32" t="s">
        <v>50</v>
      </c>
      <c r="G82" s="49">
        <f>G109/G47</f>
        <v>4.3449556541019954</v>
      </c>
      <c r="H82" s="49">
        <f>H109/H47</f>
        <v>3.7609272912658334</v>
      </c>
      <c r="I82" s="49">
        <f>I109/I47</f>
        <v>3.2338512077470578</v>
      </c>
      <c r="J82" s="49">
        <f>J109/J47</f>
        <v>2.7197549135082659</v>
      </c>
      <c r="K82" s="49">
        <f>K109/K47</f>
        <v>2.1890451048415378</v>
      </c>
    </row>
    <row r="83" spans="2:11" outlineLevel="1" x14ac:dyDescent="0.45"/>
    <row r="84" spans="2:11" outlineLevel="1" x14ac:dyDescent="0.45">
      <c r="C84" s="46" t="s">
        <v>106</v>
      </c>
      <c r="E84" s="32" t="s">
        <v>50</v>
      </c>
      <c r="G84" s="49">
        <f>(G47+G86+G99+G62)/(G71+G86)</f>
        <v>1.5932499999999998</v>
      </c>
      <c r="H84" s="49">
        <f>(H47+H86+H99+H62)/(H71+H86)</f>
        <v>1.7912631628431743</v>
      </c>
      <c r="I84" s="49">
        <f>(I47+I86+I99+I62)/(I71+I86)</f>
        <v>2.0040207852034353</v>
      </c>
      <c r="J84" s="49">
        <f>(J47+J86+J99+J62)/(J71+J86)</f>
        <v>2.2797174971295822</v>
      </c>
      <c r="K84" s="49">
        <f>(K47+K86+K99+K62)/(K71+K86)</f>
        <v>2.6492351579509656</v>
      </c>
    </row>
    <row r="85" spans="2:11" outlineLevel="1" x14ac:dyDescent="0.45"/>
    <row r="86" spans="2:11" outlineLevel="1" x14ac:dyDescent="0.45">
      <c r="C86" s="46" t="s">
        <v>107</v>
      </c>
      <c r="E86" s="32" t="s">
        <v>47</v>
      </c>
      <c r="G86" s="62">
        <v>10</v>
      </c>
      <c r="H86" s="62">
        <v>10</v>
      </c>
      <c r="I86" s="62">
        <v>11</v>
      </c>
      <c r="J86" s="62">
        <v>11</v>
      </c>
      <c r="K86" s="62">
        <v>11</v>
      </c>
    </row>
    <row r="87" spans="2:11" outlineLevel="1" x14ac:dyDescent="0.45"/>
    <row r="88" spans="2:11" x14ac:dyDescent="0.45">
      <c r="B88" s="3" t="s">
        <v>18</v>
      </c>
      <c r="C88" s="4"/>
      <c r="D88" s="4"/>
      <c r="E88" s="34" t="str">
        <f>$E$5</f>
        <v>Units:</v>
      </c>
      <c r="F88" s="33" t="str">
        <f>$F$40</f>
        <v>Year 0</v>
      </c>
      <c r="G88" s="33" t="str">
        <f>$G$40</f>
        <v>Year 1</v>
      </c>
      <c r="H88" s="33" t="str">
        <f>$H$40</f>
        <v>Year 2</v>
      </c>
      <c r="I88" s="33" t="str">
        <f>$I$40</f>
        <v>Year 3</v>
      </c>
      <c r="J88" s="33" t="str">
        <f>$J$40</f>
        <v>Year 4</v>
      </c>
      <c r="K88" s="33" t="str">
        <f>$K$40</f>
        <v>Year 5</v>
      </c>
    </row>
    <row r="89" spans="2:11" x14ac:dyDescent="0.45">
      <c r="B89" s="51"/>
      <c r="C89" s="52"/>
      <c r="D89" s="52"/>
      <c r="E89" s="52"/>
      <c r="F89" s="53"/>
      <c r="G89" s="53"/>
      <c r="H89" s="53"/>
      <c r="I89" s="53"/>
      <c r="J89" s="53"/>
      <c r="K89" s="53"/>
    </row>
    <row r="90" spans="2:11" x14ac:dyDescent="0.45">
      <c r="C90" s="2" t="s">
        <v>0</v>
      </c>
      <c r="E90" s="32" t="s">
        <v>47</v>
      </c>
      <c r="G90" s="7">
        <f>G63</f>
        <v>13.762500000000001</v>
      </c>
      <c r="H90" s="7">
        <f>H63</f>
        <v>24.045234374999986</v>
      </c>
      <c r="I90" s="7">
        <f>I63</f>
        <v>34.010927519531251</v>
      </c>
      <c r="J90" s="7">
        <f>J63</f>
        <v>45.50399829645994</v>
      </c>
      <c r="K90" s="7">
        <f>K63</f>
        <v>58.502629810067397</v>
      </c>
    </row>
    <row r="92" spans="2:11" x14ac:dyDescent="0.45">
      <c r="C92" s="46" t="s">
        <v>99</v>
      </c>
      <c r="E92" s="32" t="s">
        <v>47</v>
      </c>
      <c r="G92" s="9">
        <f>-G54</f>
        <v>10</v>
      </c>
      <c r="H92" s="9">
        <f>-H54</f>
        <v>9.7978750000000012</v>
      </c>
      <c r="I92" s="9">
        <f>-I54</f>
        <v>9.3827614062500011</v>
      </c>
      <c r="J92" s="9">
        <f>-J54</f>
        <v>8.7554969201171886</v>
      </c>
      <c r="K92" s="9">
        <f>-K54</f>
        <v>7.9115951548850107</v>
      </c>
    </row>
    <row r="93" spans="2:11" x14ac:dyDescent="0.45">
      <c r="C93" s="46" t="s">
        <v>100</v>
      </c>
      <c r="E93" s="32" t="s">
        <v>47</v>
      </c>
      <c r="G93" s="9">
        <f t="shared" ref="G93:K94" si="15">-G57</f>
        <v>5</v>
      </c>
      <c r="H93" s="9">
        <f t="shared" si="15"/>
        <v>5</v>
      </c>
      <c r="I93" s="9">
        <f t="shared" si="15"/>
        <v>5</v>
      </c>
      <c r="J93" s="9">
        <f t="shared" si="15"/>
        <v>5</v>
      </c>
      <c r="K93" s="9">
        <f t="shared" si="15"/>
        <v>5</v>
      </c>
    </row>
    <row r="94" spans="2:11" x14ac:dyDescent="0.45">
      <c r="C94" s="46" t="s">
        <v>101</v>
      </c>
      <c r="E94" s="32" t="s">
        <v>47</v>
      </c>
      <c r="G94" s="9">
        <f t="shared" si="15"/>
        <v>2</v>
      </c>
      <c r="H94" s="9">
        <f t="shared" si="15"/>
        <v>2</v>
      </c>
      <c r="I94" s="9">
        <f t="shared" si="15"/>
        <v>2</v>
      </c>
      <c r="J94" s="9">
        <f t="shared" si="15"/>
        <v>2</v>
      </c>
      <c r="K94" s="9">
        <f t="shared" si="15"/>
        <v>2</v>
      </c>
    </row>
    <row r="95" spans="2:11" x14ac:dyDescent="0.45">
      <c r="C95" s="2" t="s">
        <v>19</v>
      </c>
      <c r="E95" s="32" t="s">
        <v>47</v>
      </c>
      <c r="G95" s="9">
        <f>-G50</f>
        <v>33</v>
      </c>
      <c r="H95" s="9">
        <f>-H50</f>
        <v>32.67</v>
      </c>
      <c r="I95" s="9">
        <f>-I50</f>
        <v>31.481999999999999</v>
      </c>
      <c r="J95" s="9">
        <f>-J50</f>
        <v>29.750489999999996</v>
      </c>
      <c r="K95" s="9">
        <f>-K50</f>
        <v>27.767123999999999</v>
      </c>
    </row>
    <row r="96" spans="2:11" x14ac:dyDescent="0.45">
      <c r="C96" s="2" t="s">
        <v>20</v>
      </c>
      <c r="E96" s="32" t="s">
        <v>47</v>
      </c>
      <c r="G96" s="9">
        <f>(G44-F44)*G97</f>
        <v>-2.5</v>
      </c>
      <c r="H96" s="9">
        <f>(H44-G44)*H97</f>
        <v>-1.1000000000000001</v>
      </c>
      <c r="I96" s="9">
        <f>(I44-H44)*I97</f>
        <v>0</v>
      </c>
      <c r="J96" s="9">
        <f>(J44-I44)*J97</f>
        <v>0.39352499999999968</v>
      </c>
      <c r="K96" s="9">
        <f>(K44-J44)*K97</f>
        <v>0.82640250000000037</v>
      </c>
    </row>
    <row r="97" spans="3:11" x14ac:dyDescent="0.45">
      <c r="C97" s="13" t="s">
        <v>23</v>
      </c>
      <c r="E97" s="32" t="s">
        <v>44</v>
      </c>
      <c r="G97" s="25">
        <v>-0.1</v>
      </c>
      <c r="H97" s="25">
        <v>-0.05</v>
      </c>
      <c r="I97" s="25">
        <v>0</v>
      </c>
      <c r="J97" s="25">
        <v>2.5000000000000001E-2</v>
      </c>
      <c r="K97" s="25">
        <v>0.05</v>
      </c>
    </row>
    <row r="98" spans="3:11" x14ac:dyDescent="0.45">
      <c r="G98" s="9"/>
      <c r="H98" s="9"/>
      <c r="I98" s="9"/>
      <c r="J98" s="9"/>
      <c r="K98" s="9"/>
    </row>
    <row r="99" spans="3:11" x14ac:dyDescent="0.45">
      <c r="C99" s="2" t="s">
        <v>21</v>
      </c>
      <c r="E99" s="32" t="s">
        <v>47</v>
      </c>
      <c r="G99" s="9">
        <f>-G100*G44</f>
        <v>-38.500000000000007</v>
      </c>
      <c r="H99" s="9">
        <f>-H100*H44</f>
        <v>-38.61</v>
      </c>
      <c r="I99" s="9">
        <f>-I100*I44</f>
        <v>-37.778399999999998</v>
      </c>
      <c r="J99" s="9">
        <f>-J100*J44</f>
        <v>-36.361709999999995</v>
      </c>
      <c r="K99" s="9">
        <f>-K100*K44</f>
        <v>-34.708905000000001</v>
      </c>
    </row>
    <row r="100" spans="3:11" x14ac:dyDescent="0.45">
      <c r="C100" s="13" t="s">
        <v>22</v>
      </c>
      <c r="E100" s="32" t="s">
        <v>44</v>
      </c>
      <c r="G100" s="25">
        <v>0.14000000000000001</v>
      </c>
      <c r="H100" s="25">
        <v>0.13</v>
      </c>
      <c r="I100" s="25">
        <v>0.12</v>
      </c>
      <c r="J100" s="25">
        <v>0.11</v>
      </c>
      <c r="K100" s="25">
        <v>0.1</v>
      </c>
    </row>
    <row r="101" spans="3:11" x14ac:dyDescent="0.45">
      <c r="G101" s="12"/>
      <c r="H101" s="12"/>
      <c r="I101" s="12"/>
      <c r="J101" s="12"/>
      <c r="K101" s="12"/>
    </row>
    <row r="102" spans="3:11" x14ac:dyDescent="0.45">
      <c r="C102" s="13" t="s">
        <v>24</v>
      </c>
      <c r="E102" s="32" t="s">
        <v>47</v>
      </c>
      <c r="G102" s="9">
        <f>F110</f>
        <v>20</v>
      </c>
      <c r="H102" s="9">
        <f t="shared" ref="H102:K102" si="16">G110</f>
        <v>32.65625</v>
      </c>
      <c r="I102" s="9">
        <f t="shared" si="16"/>
        <v>45.703679687499999</v>
      </c>
      <c r="J102" s="9">
        <f t="shared" si="16"/>
        <v>58.437744306640631</v>
      </c>
      <c r="K102" s="9">
        <f t="shared" si="16"/>
        <v>71.284456261608881</v>
      </c>
    </row>
    <row r="103" spans="3:11" x14ac:dyDescent="0.45">
      <c r="C103" s="13" t="s">
        <v>25</v>
      </c>
      <c r="E103" s="32" t="s">
        <v>47</v>
      </c>
      <c r="G103" s="9">
        <f>G90+SUM(G92:G96)+G99</f>
        <v>22.762499999999996</v>
      </c>
      <c r="H103" s="9">
        <f t="shared" ref="H103:K103" si="17">H90+SUM(H92:H96)+H99</f>
        <v>33.803109374999991</v>
      </c>
      <c r="I103" s="9">
        <f t="shared" si="17"/>
        <v>44.09728892578125</v>
      </c>
      <c r="J103" s="9">
        <f t="shared" si="17"/>
        <v>55.041800216577123</v>
      </c>
      <c r="K103" s="9">
        <f t="shared" si="17"/>
        <v>67.298846464952405</v>
      </c>
    </row>
    <row r="104" spans="3:11" x14ac:dyDescent="0.45">
      <c r="C104" s="13" t="s">
        <v>26</v>
      </c>
      <c r="E104" s="41" t="s">
        <v>47</v>
      </c>
      <c r="G104" s="9">
        <f>-G47*Min_Cash</f>
        <v>-22.55</v>
      </c>
      <c r="H104" s="9">
        <f>-H47*Min_Cash</f>
        <v>-24.948</v>
      </c>
      <c r="I104" s="9">
        <f>-I47*Min_Cash</f>
        <v>-27.074520000000003</v>
      </c>
      <c r="J104" s="9">
        <f>-J47*Min_Cash</f>
        <v>-29.089367999999997</v>
      </c>
      <c r="K104" s="9">
        <f>-K47*Min_Cash</f>
        <v>-31.238014499999998</v>
      </c>
    </row>
    <row r="105" spans="3:11" x14ac:dyDescent="0.45">
      <c r="C105" s="17" t="s">
        <v>65</v>
      </c>
      <c r="D105" s="18"/>
      <c r="E105" s="32" t="s">
        <v>47</v>
      </c>
      <c r="F105" s="18"/>
      <c r="G105" s="23">
        <f>SUM(G102:G104)</f>
        <v>20.212499999999995</v>
      </c>
      <c r="H105" s="23">
        <f t="shared" ref="H105:K105" si="18">SUM(H102:H104)</f>
        <v>41.511359374999991</v>
      </c>
      <c r="I105" s="23">
        <f t="shared" si="18"/>
        <v>62.726448613281235</v>
      </c>
      <c r="J105" s="23">
        <f t="shared" si="18"/>
        <v>84.390176523217761</v>
      </c>
      <c r="K105" s="23">
        <f t="shared" si="18"/>
        <v>107.34528822656128</v>
      </c>
    </row>
    <row r="106" spans="3:11" x14ac:dyDescent="0.45">
      <c r="G106" s="12"/>
      <c r="H106" s="12"/>
      <c r="I106" s="12"/>
      <c r="J106" s="12"/>
      <c r="K106" s="12"/>
    </row>
    <row r="107" spans="3:11" x14ac:dyDescent="0.45">
      <c r="C107" s="46" t="s">
        <v>66</v>
      </c>
      <c r="E107" s="32" t="s">
        <v>47</v>
      </c>
      <c r="G107" s="9">
        <f>IF(G105&gt;0,MIN(F109,G105*CF_Sweep),G105)</f>
        <v>10.106249999999998</v>
      </c>
      <c r="H107" s="9">
        <f>IF(H105&gt;0,MIN(G109,H105*CF_Sweep),H105)</f>
        <v>20.755679687499995</v>
      </c>
      <c r="I107" s="9">
        <f>IF(I105&gt;0,MIN(H109,I105*CF_Sweep),I105)</f>
        <v>31.363224306640618</v>
      </c>
      <c r="J107" s="9">
        <f>IF(J105&gt;0,MIN(I109,J105*CF_Sweep),J105)</f>
        <v>42.19508826160888</v>
      </c>
      <c r="K107" s="9">
        <f>IF(K105&gt;0,MIN(J109,K105*CF_Sweep),K105)</f>
        <v>53.67264411328064</v>
      </c>
    </row>
    <row r="109" spans="3:11" x14ac:dyDescent="0.45">
      <c r="C109" s="2" t="s">
        <v>1</v>
      </c>
      <c r="E109" s="32" t="s">
        <v>47</v>
      </c>
      <c r="F109" s="9">
        <f>F15</f>
        <v>500</v>
      </c>
      <c r="G109" s="9">
        <f>F109-G107</f>
        <v>489.89375000000001</v>
      </c>
      <c r="H109" s="9">
        <f t="shared" ref="H109:K109" si="19">G109-H107</f>
        <v>469.13807031250002</v>
      </c>
      <c r="I109" s="9">
        <f t="shared" si="19"/>
        <v>437.77484600585939</v>
      </c>
      <c r="J109" s="9">
        <f t="shared" si="19"/>
        <v>395.57975774425051</v>
      </c>
      <c r="K109" s="9">
        <f t="shared" si="19"/>
        <v>341.90711363096989</v>
      </c>
    </row>
    <row r="110" spans="3:11" x14ac:dyDescent="0.45">
      <c r="C110" s="2" t="s">
        <v>12</v>
      </c>
      <c r="E110" s="32" t="s">
        <v>47</v>
      </c>
      <c r="F110" s="9">
        <f>K35</f>
        <v>20</v>
      </c>
      <c r="G110" s="9">
        <f>F110+(G103-G107)</f>
        <v>32.65625</v>
      </c>
      <c r="H110" s="9">
        <f t="shared" ref="H110:K110" si="20">G110+(H103-H107)</f>
        <v>45.703679687499999</v>
      </c>
      <c r="I110" s="9">
        <f t="shared" si="20"/>
        <v>58.437744306640631</v>
      </c>
      <c r="J110" s="9">
        <f t="shared" si="20"/>
        <v>71.284456261608881</v>
      </c>
      <c r="K110" s="9">
        <f t="shared" si="20"/>
        <v>84.910658613280646</v>
      </c>
    </row>
    <row r="111" spans="3:11" x14ac:dyDescent="0.45">
      <c r="C111" s="2" t="s">
        <v>30</v>
      </c>
      <c r="E111" s="32" t="s">
        <v>47</v>
      </c>
      <c r="F111" s="9">
        <f>F32</f>
        <v>364.5</v>
      </c>
      <c r="G111" s="9">
        <f>F111+G90</f>
        <v>378.26249999999999</v>
      </c>
      <c r="H111" s="9">
        <f>G111+H90</f>
        <v>402.307734375</v>
      </c>
      <c r="I111" s="9">
        <f>H111+I90</f>
        <v>436.31866189453126</v>
      </c>
      <c r="J111" s="9">
        <f>I111+J90</f>
        <v>481.8226601909912</v>
      </c>
      <c r="K111" s="9">
        <f>J111+K90</f>
        <v>540.32529000105865</v>
      </c>
    </row>
    <row r="112" spans="3:11" x14ac:dyDescent="0.45">
      <c r="F112" s="9"/>
    </row>
    <row r="113" spans="2:11" x14ac:dyDescent="0.45">
      <c r="C113" s="2" t="s">
        <v>31</v>
      </c>
      <c r="E113" s="32" t="s">
        <v>47</v>
      </c>
      <c r="F113" s="9">
        <f>F111+F109</f>
        <v>864.5</v>
      </c>
      <c r="G113" s="9">
        <f t="shared" ref="G113:K113" si="21">G111+G109</f>
        <v>868.15625</v>
      </c>
      <c r="H113" s="9">
        <f t="shared" si="21"/>
        <v>871.44580468749996</v>
      </c>
      <c r="I113" s="9">
        <f t="shared" si="21"/>
        <v>874.0935079003907</v>
      </c>
      <c r="J113" s="9">
        <f t="shared" si="21"/>
        <v>877.40241793524171</v>
      </c>
      <c r="K113" s="9">
        <f t="shared" si="21"/>
        <v>882.23240363202854</v>
      </c>
    </row>
    <row r="114" spans="2:11" x14ac:dyDescent="0.45">
      <c r="C114" s="2" t="s">
        <v>32</v>
      </c>
      <c r="E114" s="32" t="s">
        <v>47</v>
      </c>
      <c r="G114" s="7">
        <f>(G47+G50)*(1-Tax_Rate)</f>
        <v>59.8125</v>
      </c>
      <c r="H114" s="7">
        <f>(H47+H50)*(1-Tax_Rate)</f>
        <v>69.052499999999995</v>
      </c>
      <c r="I114" s="7">
        <f>(I47+I50)*(1-Tax_Rate)</f>
        <v>77.917950000000005</v>
      </c>
      <c r="J114" s="7">
        <f>(J47+J50)*(1-Tax_Rate)</f>
        <v>86.772262499999982</v>
      </c>
      <c r="K114" s="7">
        <f>(K47+K50)*(1-Tax_Rate)</f>
        <v>96.317211374999999</v>
      </c>
    </row>
    <row r="115" spans="2:11" x14ac:dyDescent="0.45">
      <c r="C115" s="21" t="s">
        <v>33</v>
      </c>
      <c r="E115" s="32" t="s">
        <v>44</v>
      </c>
      <c r="G115" s="58">
        <f>G114/AVERAGE(F113,G113)</f>
        <v>6.9041392370817925E-2</v>
      </c>
      <c r="H115" s="58">
        <f t="shared" ref="H115:K115" si="22">H114/AVERAGE(G113,H113)</f>
        <v>7.9388846217940928E-2</v>
      </c>
      <c r="I115" s="58">
        <f t="shared" si="22"/>
        <v>8.9276648698883673E-2</v>
      </c>
      <c r="J115" s="58">
        <f t="shared" si="22"/>
        <v>9.9083601874324939E-2</v>
      </c>
      <c r="K115" s="58">
        <f t="shared" si="22"/>
        <v>0.10947409109489237</v>
      </c>
    </row>
    <row r="116" spans="2:11" x14ac:dyDescent="0.45">
      <c r="K116" s="9"/>
    </row>
    <row r="117" spans="2:11" x14ac:dyDescent="0.45">
      <c r="B117" s="3" t="s">
        <v>63</v>
      </c>
      <c r="C117" s="4"/>
      <c r="D117" s="4"/>
      <c r="E117" s="34" t="str">
        <f>$E$5</f>
        <v>Units:</v>
      </c>
      <c r="F117" s="33" t="str">
        <f>$F$40</f>
        <v>Year 0</v>
      </c>
      <c r="G117" s="33" t="str">
        <f>$G$40</f>
        <v>Year 1</v>
      </c>
      <c r="H117" s="33" t="str">
        <f>$H$40</f>
        <v>Year 2</v>
      </c>
      <c r="I117" s="33" t="str">
        <f>$I$40</f>
        <v>Year 3</v>
      </c>
      <c r="J117" s="33" t="str">
        <f>$J$40</f>
        <v>Year 4</v>
      </c>
      <c r="K117" s="33" t="str">
        <f>$K$40</f>
        <v>Year 5</v>
      </c>
    </row>
    <row r="118" spans="2:11" x14ac:dyDescent="0.45">
      <c r="K118" s="9"/>
    </row>
    <row r="119" spans="2:11" x14ac:dyDescent="0.45">
      <c r="C119" s="1" t="s">
        <v>3</v>
      </c>
      <c r="E119" s="32" t="s">
        <v>47</v>
      </c>
      <c r="G119" s="16">
        <f>G47</f>
        <v>112.75</v>
      </c>
      <c r="H119" s="16">
        <f>H47</f>
        <v>124.74</v>
      </c>
      <c r="I119" s="16">
        <f>I47</f>
        <v>135.37260000000001</v>
      </c>
      <c r="J119" s="16">
        <f>J47</f>
        <v>145.44683999999998</v>
      </c>
      <c r="K119" s="16">
        <f>K47</f>
        <v>156.19007249999999</v>
      </c>
    </row>
    <row r="120" spans="2:11" x14ac:dyDescent="0.45">
      <c r="C120" s="47" t="s">
        <v>56</v>
      </c>
      <c r="D120" s="14"/>
      <c r="E120" s="41" t="s">
        <v>50</v>
      </c>
      <c r="F120" s="14"/>
      <c r="G120" s="48">
        <f>$K$7</f>
        <v>8</v>
      </c>
      <c r="H120" s="48">
        <f t="shared" ref="H120:K120" si="23">$K$7</f>
        <v>8</v>
      </c>
      <c r="I120" s="48">
        <f t="shared" si="23"/>
        <v>8</v>
      </c>
      <c r="J120" s="48">
        <f t="shared" si="23"/>
        <v>8</v>
      </c>
      <c r="K120" s="48">
        <f t="shared" si="23"/>
        <v>8</v>
      </c>
    </row>
    <row r="121" spans="2:11" x14ac:dyDescent="0.45">
      <c r="C121" s="1" t="s">
        <v>11</v>
      </c>
      <c r="E121" s="32" t="s">
        <v>47</v>
      </c>
      <c r="G121" s="23">
        <f>G120*G119</f>
        <v>902</v>
      </c>
      <c r="H121" s="23">
        <f t="shared" ref="H121:K121" si="24">H120*H119</f>
        <v>997.92</v>
      </c>
      <c r="I121" s="23">
        <f t="shared" si="24"/>
        <v>1082.9808</v>
      </c>
      <c r="J121" s="23">
        <f t="shared" si="24"/>
        <v>1163.5747199999998</v>
      </c>
      <c r="K121" s="23">
        <f t="shared" si="24"/>
        <v>1249.5205799999999</v>
      </c>
    </row>
    <row r="122" spans="2:11" x14ac:dyDescent="0.45">
      <c r="C122" s="47" t="s">
        <v>57</v>
      </c>
      <c r="D122" s="14"/>
      <c r="E122" s="41" t="s">
        <v>47</v>
      </c>
      <c r="F122" s="14"/>
      <c r="G122" s="15">
        <f>-G109+G110</f>
        <v>-457.23750000000001</v>
      </c>
      <c r="H122" s="15">
        <f t="shared" ref="H122:K122" si="25">-H109+H110</f>
        <v>-423.43439062499999</v>
      </c>
      <c r="I122" s="15">
        <f t="shared" si="25"/>
        <v>-379.33710169921875</v>
      </c>
      <c r="J122" s="15">
        <f t="shared" si="25"/>
        <v>-324.29530148264166</v>
      </c>
      <c r="K122" s="15">
        <f t="shared" si="25"/>
        <v>-256.99645501768924</v>
      </c>
    </row>
    <row r="123" spans="2:11" x14ac:dyDescent="0.45">
      <c r="C123" s="1" t="s">
        <v>58</v>
      </c>
      <c r="E123" s="32" t="s">
        <v>47</v>
      </c>
      <c r="G123" s="16">
        <f>SUM(G121:G122)</f>
        <v>444.76249999999999</v>
      </c>
      <c r="H123" s="16">
        <f t="shared" ref="H123:K123" si="26">SUM(H121:H122)</f>
        <v>574.48560937499997</v>
      </c>
      <c r="I123" s="16">
        <f t="shared" si="26"/>
        <v>703.64369830078135</v>
      </c>
      <c r="J123" s="16">
        <f t="shared" si="26"/>
        <v>839.27941851735818</v>
      </c>
      <c r="K123" s="16">
        <f t="shared" si="26"/>
        <v>992.5241249823107</v>
      </c>
    </row>
    <row r="124" spans="2:11" x14ac:dyDescent="0.45">
      <c r="K124" s="9"/>
    </row>
    <row r="125" spans="2:11" x14ac:dyDescent="0.45">
      <c r="C125" s="46" t="s">
        <v>13</v>
      </c>
      <c r="E125" s="32" t="s">
        <v>50</v>
      </c>
      <c r="G125" s="49">
        <f>G123/$F$32</f>
        <v>1.22019890260631</v>
      </c>
      <c r="H125" s="49">
        <f t="shared" ref="H125:K125" si="27">H123/$F$32</f>
        <v>1.5760922067901233</v>
      </c>
      <c r="I125" s="49">
        <f t="shared" si="27"/>
        <v>1.9304353862847226</v>
      </c>
      <c r="J125" s="49">
        <f t="shared" si="27"/>
        <v>2.3025498450407631</v>
      </c>
      <c r="K125" s="49">
        <f t="shared" si="27"/>
        <v>2.7229742797868606</v>
      </c>
    </row>
    <row r="126" spans="2:11" x14ac:dyDescent="0.45">
      <c r="C126" s="46" t="s">
        <v>59</v>
      </c>
      <c r="E126" s="32" t="s">
        <v>44</v>
      </c>
      <c r="G126" s="50">
        <f>(G123/$F$32)^(1/G42)-1</f>
        <v>0.22019890260631003</v>
      </c>
      <c r="H126" s="50">
        <f>(H123/$F$32)^(1/H42)-1</f>
        <v>0.2554251099886935</v>
      </c>
      <c r="I126" s="50">
        <f>(I123/$F$32)^(1/I42)-1</f>
        <v>0.24514068318461968</v>
      </c>
      <c r="J126" s="50">
        <f>(J123/$F$32)^(1/J42)-1</f>
        <v>0.23183420757820161</v>
      </c>
      <c r="K126" s="50">
        <f>(K123/$F$32)^(1/K42)-1</f>
        <v>0.22182415814164202</v>
      </c>
    </row>
    <row r="127" spans="2:11" x14ac:dyDescent="0.45">
      <c r="K127" s="9"/>
    </row>
  </sheetData>
  <dataValidations count="3">
    <dataValidation type="list" allowBlank="1" showInputMessage="1" showErrorMessage="1" sqref="K18" xr:uid="{8007A15C-74F4-4B7C-9C09-03D384532222}">
      <formula1>$H$19:$H$20</formula1>
    </dataValidation>
    <dataValidation type="whole" allowBlank="1" showInputMessage="1" showErrorMessage="1" sqref="K22:K26" xr:uid="{0379884E-244A-4B94-A6C1-C5FA954811E8}">
      <formula1>0</formula1>
      <formula2>1</formula2>
    </dataValidation>
    <dataValidation type="whole" allowBlank="1" showInputMessage="1" showErrorMessage="1" sqref="F18" xr:uid="{709F4098-C5DC-43B2-9051-DBC073EF5022}">
      <formula1>5</formula1>
      <formula2>10</formula2>
    </dataValidation>
  </dataValidations>
  <pageMargins left="0.7" right="0.7" top="0.75" bottom="0.75" header="0.3" footer="0.3"/>
  <pageSetup scale="48" orientation="portrait" r:id="rId1"/>
  <rowBreaks count="2" manualBreakCount="2">
    <brk id="39" max="11" man="1"/>
    <brk id="87" max="11" man="1"/>
  </rowBreaks>
  <ignoredErrors>
    <ignoredError sqref="F114 F11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TIE_Ratio</vt:lpstr>
      <vt:lpstr>Cash_Interest</vt:lpstr>
      <vt:lpstr>CF_Sweep</vt:lpstr>
      <vt:lpstr>Debt_Maturity</vt:lpstr>
      <vt:lpstr>Fin_Fees</vt:lpstr>
      <vt:lpstr>Int_On_Cash</vt:lpstr>
      <vt:lpstr>Min_Cash</vt:lpstr>
      <vt:lpstr>OID</vt:lpstr>
      <vt:lpstr>PIK_Interest</vt:lpstr>
      <vt:lpstr>TIE_Ratio!Print_Area</vt:lpstr>
      <vt:lpstr>Tax_Rate</vt:lpstr>
      <vt:lpstr>TIE_Numerator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BIWS</dc:creator>
  <cp:lastModifiedBy>Brian DeChesare</cp:lastModifiedBy>
  <dcterms:created xsi:type="dcterms:W3CDTF">2014-04-29T19:37:43Z</dcterms:created>
  <dcterms:modified xsi:type="dcterms:W3CDTF">2025-08-13T13:51:48Z</dcterms:modified>
</cp:coreProperties>
</file>