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101-Three-Statement-Modeling\101-11-Financial-Modeling-Best-Practices\"/>
    </mc:Choice>
  </mc:AlternateContent>
  <xr:revisionPtr revIDLastSave="0" documentId="13_ncr:1_{ABD0E224-81E4-474F-829B-BFC0C768960A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MNST" sheetId="1" r:id="rId1"/>
    <sheet name="IS" sheetId="2" r:id="rId2"/>
    <sheet name="BS" sheetId="3" r:id="rId3"/>
    <sheet name="CFS" sheetId="4" r:id="rId4"/>
  </sheets>
  <definedNames>
    <definedName name="Company_Name">MNST!$D$7</definedName>
    <definedName name="Hist_Yr">MNST!$D$9</definedName>
    <definedName name="_xlnm.Print_Area" localSheetId="2">BS!$A$1:$M$69</definedName>
    <definedName name="_xlnm.Print_Area" localSheetId="3">CFS!$A$1:$M$62</definedName>
    <definedName name="_xlnm.Print_Area" localSheetId="1">IS!$A$1:$M$34</definedName>
    <definedName name="_xlnm.Print_Area" localSheetId="0">MNST!$A$1:$M$23</definedName>
  </definedNames>
  <calcPr calcId="191029" calcMode="autoNoTable" iterate="1" calcOnSave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7" i="1" l="1"/>
  <c r="I17" i="1"/>
  <c r="J17" i="1"/>
  <c r="K17" i="1"/>
  <c r="L17" i="1"/>
  <c r="B2" i="4"/>
  <c r="H57" i="4"/>
  <c r="I57" i="4" s="1"/>
  <c r="J57" i="4" s="1"/>
  <c r="K57" i="4" s="1"/>
  <c r="L57" i="4" s="1"/>
  <c r="L55" i="4"/>
  <c r="K55" i="4"/>
  <c r="J55" i="4"/>
  <c r="I55" i="4"/>
  <c r="H55" i="4"/>
  <c r="G55" i="4"/>
  <c r="F55" i="4"/>
  <c r="E55" i="4"/>
  <c r="G46" i="4"/>
  <c r="F46" i="4"/>
  <c r="E46" i="4"/>
  <c r="I45" i="4"/>
  <c r="J45" i="4" s="1"/>
  <c r="K45" i="4" s="1"/>
  <c r="L45" i="4" s="1"/>
  <c r="G44" i="4"/>
  <c r="F44" i="4"/>
  <c r="E44" i="4"/>
  <c r="I42" i="4"/>
  <c r="J42" i="4" s="1"/>
  <c r="K42" i="4" s="1"/>
  <c r="L42" i="4" s="1"/>
  <c r="G41" i="4"/>
  <c r="F41" i="4"/>
  <c r="E41" i="4"/>
  <c r="I39" i="4"/>
  <c r="J39" i="4" s="1"/>
  <c r="K39" i="4" s="1"/>
  <c r="L39" i="4" s="1"/>
  <c r="I38" i="4"/>
  <c r="J38" i="4" s="1"/>
  <c r="K38" i="4" s="1"/>
  <c r="L38" i="4" s="1"/>
  <c r="I37" i="4"/>
  <c r="J37" i="4" s="1"/>
  <c r="K37" i="4" s="1"/>
  <c r="L37" i="4" s="1"/>
  <c r="I36" i="4"/>
  <c r="G20" i="4"/>
  <c r="F20" i="4"/>
  <c r="H20" i="4" s="1"/>
  <c r="E20" i="4"/>
  <c r="G18" i="4"/>
  <c r="F18" i="4"/>
  <c r="E18" i="4"/>
  <c r="J16" i="4"/>
  <c r="K16" i="4" s="1"/>
  <c r="L16" i="4" s="1"/>
  <c r="I16" i="4"/>
  <c r="I15" i="4"/>
  <c r="J15" i="4" s="1"/>
  <c r="K15" i="4" s="1"/>
  <c r="L15" i="4" s="1"/>
  <c r="I14" i="4"/>
  <c r="J14" i="4" s="1"/>
  <c r="K14" i="4" s="1"/>
  <c r="L14" i="4" s="1"/>
  <c r="J13" i="4"/>
  <c r="K13" i="4" s="1"/>
  <c r="L13" i="4" s="1"/>
  <c r="I13" i="4"/>
  <c r="H12" i="4"/>
  <c r="I12" i="4" s="1"/>
  <c r="J12" i="4" s="1"/>
  <c r="K12" i="4" s="1"/>
  <c r="L12" i="4" s="1"/>
  <c r="G11" i="4"/>
  <c r="F11" i="4"/>
  <c r="E11" i="4"/>
  <c r="H11" i="4" s="1"/>
  <c r="G8" i="4"/>
  <c r="G33" i="4" s="1"/>
  <c r="G60" i="4" s="1"/>
  <c r="F8" i="4"/>
  <c r="F33" i="4" s="1"/>
  <c r="F60" i="4" s="1"/>
  <c r="E8" i="4"/>
  <c r="E33" i="4" s="1"/>
  <c r="E60" i="4" s="1"/>
  <c r="E61" i="4" s="1"/>
  <c r="F59" i="4" s="1"/>
  <c r="D6" i="4"/>
  <c r="H5" i="4"/>
  <c r="E5" i="4"/>
  <c r="B3" i="4"/>
  <c r="G64" i="3"/>
  <c r="F64" i="3"/>
  <c r="E64" i="3"/>
  <c r="H63" i="3"/>
  <c r="I63" i="3" s="1"/>
  <c r="J63" i="3" s="1"/>
  <c r="K63" i="3" s="1"/>
  <c r="L63" i="3" s="1"/>
  <c r="J59" i="3"/>
  <c r="I59" i="3"/>
  <c r="H59" i="3"/>
  <c r="G54" i="3"/>
  <c r="F54" i="3"/>
  <c r="E54" i="3"/>
  <c r="H53" i="3"/>
  <c r="I53" i="3" s="1"/>
  <c r="J53" i="3" s="1"/>
  <c r="K53" i="3" s="1"/>
  <c r="L53" i="3" s="1"/>
  <c r="G52" i="3"/>
  <c r="F52" i="3"/>
  <c r="E52" i="3"/>
  <c r="G50" i="3"/>
  <c r="F50" i="3"/>
  <c r="E50" i="3"/>
  <c r="G46" i="3"/>
  <c r="G56" i="3" s="1"/>
  <c r="G66" i="3" s="1"/>
  <c r="F46" i="3"/>
  <c r="F56" i="3" s="1"/>
  <c r="F66" i="3" s="1"/>
  <c r="E46" i="3"/>
  <c r="E56" i="3" s="1"/>
  <c r="E66" i="3" s="1"/>
  <c r="H45" i="3"/>
  <c r="I45" i="3" s="1"/>
  <c r="G45" i="3"/>
  <c r="F45" i="3"/>
  <c r="E45" i="3"/>
  <c r="I43" i="3"/>
  <c r="H43" i="3"/>
  <c r="G43" i="3"/>
  <c r="F43" i="3"/>
  <c r="E43" i="3"/>
  <c r="G41" i="3"/>
  <c r="F41" i="3"/>
  <c r="E41" i="3"/>
  <c r="H41" i="3" s="1"/>
  <c r="G39" i="3"/>
  <c r="F39" i="3"/>
  <c r="E39" i="3"/>
  <c r="G37" i="3"/>
  <c r="F37" i="3"/>
  <c r="E37" i="3"/>
  <c r="H37" i="3" s="1"/>
  <c r="H35" i="3"/>
  <c r="G35" i="3"/>
  <c r="F35" i="3"/>
  <c r="E35" i="3"/>
  <c r="G30" i="3"/>
  <c r="G68" i="3" s="1"/>
  <c r="E30" i="3"/>
  <c r="E68" i="3" s="1"/>
  <c r="G28" i="3"/>
  <c r="F28" i="3"/>
  <c r="E28" i="3"/>
  <c r="H25" i="3"/>
  <c r="I25" i="3" s="1"/>
  <c r="J25" i="3" s="1"/>
  <c r="K25" i="3" s="1"/>
  <c r="L25" i="3" s="1"/>
  <c r="H22" i="3"/>
  <c r="G19" i="3"/>
  <c r="F19" i="3"/>
  <c r="F30" i="3" s="1"/>
  <c r="F68" i="3" s="1"/>
  <c r="E19" i="3"/>
  <c r="G18" i="3"/>
  <c r="F18" i="3"/>
  <c r="E18" i="3"/>
  <c r="H18" i="3" s="1"/>
  <c r="G16" i="3"/>
  <c r="F16" i="3"/>
  <c r="E16" i="3"/>
  <c r="G14" i="3"/>
  <c r="F14" i="3"/>
  <c r="E14" i="3"/>
  <c r="G12" i="3"/>
  <c r="H12" i="3" s="1"/>
  <c r="F12" i="3"/>
  <c r="E12" i="3"/>
  <c r="H10" i="3"/>
  <c r="D6" i="3"/>
  <c r="H5" i="3"/>
  <c r="E5" i="3"/>
  <c r="B2" i="3"/>
  <c r="B3" i="3"/>
  <c r="B3" i="2"/>
  <c r="B2" i="2" a="1"/>
  <c r="B2" i="2" s="1"/>
  <c r="B2" i="1"/>
  <c r="D6" i="2"/>
  <c r="H5" i="2"/>
  <c r="E5" i="2"/>
  <c r="F9" i="2"/>
  <c r="G9" i="2"/>
  <c r="E12" i="2"/>
  <c r="F12" i="2"/>
  <c r="G12" i="2"/>
  <c r="E14" i="2"/>
  <c r="E19" i="2" s="1"/>
  <c r="E20" i="2" s="1"/>
  <c r="F14" i="2"/>
  <c r="F19" i="2" s="1"/>
  <c r="F20" i="2" s="1"/>
  <c r="G14" i="2"/>
  <c r="G19" i="2" s="1"/>
  <c r="G20" i="2" s="1"/>
  <c r="E17" i="2"/>
  <c r="F17" i="2"/>
  <c r="G17" i="2"/>
  <c r="H22" i="2"/>
  <c r="F23" i="2"/>
  <c r="G23" i="2"/>
  <c r="H25" i="2"/>
  <c r="I25" i="2"/>
  <c r="G26" i="2"/>
  <c r="H44" i="4" l="1"/>
  <c r="H27" i="3"/>
  <c r="H18" i="4"/>
  <c r="I11" i="4"/>
  <c r="F61" i="4"/>
  <c r="G59" i="4" s="1"/>
  <c r="G61" i="4" s="1"/>
  <c r="H59" i="4" s="1"/>
  <c r="I18" i="4"/>
  <c r="I44" i="4"/>
  <c r="I20" i="4"/>
  <c r="J36" i="4"/>
  <c r="I10" i="3"/>
  <c r="J10" i="3" s="1"/>
  <c r="I18" i="3"/>
  <c r="I37" i="3"/>
  <c r="J45" i="3"/>
  <c r="I12" i="3"/>
  <c r="I41" i="3"/>
  <c r="I35" i="3"/>
  <c r="J43" i="3"/>
  <c r="K59" i="3"/>
  <c r="I22" i="3"/>
  <c r="H62" i="3"/>
  <c r="I62" i="3" s="1"/>
  <c r="J62" i="3" s="1"/>
  <c r="K62" i="3" s="1"/>
  <c r="L62" i="3" s="1"/>
  <c r="J25" i="2"/>
  <c r="E28" i="2"/>
  <c r="G28" i="2"/>
  <c r="G31" i="2" s="1"/>
  <c r="F28" i="2"/>
  <c r="F33" i="2" s="1"/>
  <c r="K36" i="4" l="1"/>
  <c r="J20" i="4"/>
  <c r="J44" i="4"/>
  <c r="J18" i="4"/>
  <c r="J11" i="4"/>
  <c r="I27" i="3"/>
  <c r="J27" i="3" s="1"/>
  <c r="K27" i="3" s="1"/>
  <c r="L27" i="3" s="1"/>
  <c r="J12" i="3"/>
  <c r="J22" i="3"/>
  <c r="J35" i="3"/>
  <c r="K45" i="3"/>
  <c r="L59" i="3"/>
  <c r="J37" i="3"/>
  <c r="K43" i="3"/>
  <c r="J18" i="3"/>
  <c r="J41" i="3"/>
  <c r="F31" i="2"/>
  <c r="G33" i="2"/>
  <c r="K25" i="2"/>
  <c r="E33" i="2"/>
  <c r="E31" i="2"/>
  <c r="H31" i="2" s="1"/>
  <c r="K18" i="4" l="1"/>
  <c r="K11" i="4"/>
  <c r="K44" i="4"/>
  <c r="K20" i="4"/>
  <c r="L36" i="4"/>
  <c r="K10" i="3"/>
  <c r="L10" i="3" s="1"/>
  <c r="L43" i="3"/>
  <c r="K37" i="3"/>
  <c r="K35" i="3"/>
  <c r="K18" i="3"/>
  <c r="K41" i="3"/>
  <c r="L45" i="3"/>
  <c r="K22" i="3"/>
  <c r="K12" i="3"/>
  <c r="L25" i="2"/>
  <c r="I31" i="2"/>
  <c r="J31" i="2"/>
  <c r="L20" i="4" l="1"/>
  <c r="L44" i="4"/>
  <c r="L11" i="4"/>
  <c r="L18" i="4"/>
  <c r="L35" i="3"/>
  <c r="L37" i="3"/>
  <c r="L22" i="3"/>
  <c r="L41" i="3"/>
  <c r="L18" i="3"/>
  <c r="L12" i="3"/>
  <c r="K31" i="2"/>
  <c r="F16" i="1"/>
  <c r="E21" i="1"/>
  <c r="F21" i="1"/>
  <c r="G21" i="1"/>
  <c r="L31" i="2" l="1"/>
  <c r="G16" i="1"/>
  <c r="G17" i="1" s="1"/>
  <c r="E16" i="1"/>
  <c r="F17" i="1" s="1"/>
  <c r="F22" i="1"/>
  <c r="G22" i="1"/>
  <c r="H21" i="1"/>
  <c r="H14" i="1" l="1"/>
  <c r="H8" i="2" s="1"/>
  <c r="I21" i="1"/>
  <c r="H40" i="4" l="1"/>
  <c r="H10" i="4"/>
  <c r="H17" i="4"/>
  <c r="H43" i="4"/>
  <c r="H49" i="3"/>
  <c r="H11" i="3"/>
  <c r="H40" i="3"/>
  <c r="H32" i="4" s="1"/>
  <c r="H16" i="2"/>
  <c r="H9" i="2"/>
  <c r="H11" i="2"/>
  <c r="H26" i="3"/>
  <c r="H60" i="3"/>
  <c r="H23" i="3"/>
  <c r="J21" i="1"/>
  <c r="I14" i="1"/>
  <c r="I8" i="2" s="1"/>
  <c r="I40" i="4" l="1"/>
  <c r="I17" i="4"/>
  <c r="I43" i="4"/>
  <c r="I10" i="4"/>
  <c r="H22" i="4"/>
  <c r="H46" i="4"/>
  <c r="I49" i="3"/>
  <c r="I11" i="3"/>
  <c r="I40" i="3"/>
  <c r="I32" i="4" s="1"/>
  <c r="H13" i="3"/>
  <c r="H34" i="3"/>
  <c r="H26" i="4" s="1"/>
  <c r="I26" i="3"/>
  <c r="H15" i="3"/>
  <c r="H38" i="3"/>
  <c r="H28" i="4" s="1"/>
  <c r="H51" i="3"/>
  <c r="H42" i="3"/>
  <c r="H29" i="4" s="1"/>
  <c r="H17" i="3"/>
  <c r="H36" i="3"/>
  <c r="H27" i="4" s="1"/>
  <c r="I16" i="2"/>
  <c r="I9" i="2"/>
  <c r="I11" i="2"/>
  <c r="I60" i="3"/>
  <c r="H14" i="2"/>
  <c r="H19" i="2" s="1"/>
  <c r="K21" i="1"/>
  <c r="J14" i="1"/>
  <c r="J8" i="2" s="1"/>
  <c r="H54" i="3" l="1"/>
  <c r="H31" i="4"/>
  <c r="H23" i="4"/>
  <c r="H24" i="4"/>
  <c r="H25" i="4"/>
  <c r="J40" i="4"/>
  <c r="J10" i="4"/>
  <c r="J43" i="4"/>
  <c r="J26" i="3" s="1"/>
  <c r="J17" i="4"/>
  <c r="J60" i="3" s="1"/>
  <c r="I22" i="4"/>
  <c r="I46" i="4"/>
  <c r="I23" i="3"/>
  <c r="J23" i="3" s="1"/>
  <c r="J49" i="3"/>
  <c r="J40" i="3"/>
  <c r="J32" i="4" s="1"/>
  <c r="J11" i="3"/>
  <c r="I14" i="2"/>
  <c r="I19" i="2" s="1"/>
  <c r="I20" i="2" s="1"/>
  <c r="I13" i="3"/>
  <c r="I34" i="3"/>
  <c r="I26" i="4" s="1"/>
  <c r="I15" i="3"/>
  <c r="I38" i="3"/>
  <c r="I28" i="4" s="1"/>
  <c r="I51" i="3"/>
  <c r="I42" i="3"/>
  <c r="I29" i="4" s="1"/>
  <c r="I17" i="3"/>
  <c r="I25" i="4" s="1"/>
  <c r="I36" i="3"/>
  <c r="I27" i="4" s="1"/>
  <c r="H28" i="2"/>
  <c r="H30" i="2" s="1"/>
  <c r="H19" i="4" s="1"/>
  <c r="H20" i="2"/>
  <c r="J11" i="2"/>
  <c r="J14" i="2" s="1"/>
  <c r="J19" i="2" s="1"/>
  <c r="J20" i="2" s="1"/>
  <c r="J16" i="2"/>
  <c r="J9" i="2"/>
  <c r="L21" i="1"/>
  <c r="L14" i="1" s="1"/>
  <c r="L8" i="2" s="1"/>
  <c r="K14" i="1"/>
  <c r="K8" i="2" s="1"/>
  <c r="J46" i="4" l="1"/>
  <c r="I24" i="4"/>
  <c r="I54" i="3"/>
  <c r="I31" i="4"/>
  <c r="K40" i="4"/>
  <c r="K43" i="4"/>
  <c r="K10" i="4"/>
  <c r="K23" i="3" s="1"/>
  <c r="K17" i="4"/>
  <c r="J25" i="4"/>
  <c r="L40" i="4"/>
  <c r="L10" i="4"/>
  <c r="L17" i="4"/>
  <c r="L43" i="4"/>
  <c r="I23" i="4"/>
  <c r="J22" i="4"/>
  <c r="J15" i="3"/>
  <c r="J38" i="3"/>
  <c r="J28" i="4" s="1"/>
  <c r="J51" i="3"/>
  <c r="J42" i="3"/>
  <c r="J29" i="4" s="1"/>
  <c r="J17" i="3"/>
  <c r="J36" i="3"/>
  <c r="J27" i="4" s="1"/>
  <c r="K49" i="3"/>
  <c r="K40" i="3"/>
  <c r="K32" i="4" s="1"/>
  <c r="K11" i="3"/>
  <c r="K22" i="4" s="1"/>
  <c r="K26" i="3"/>
  <c r="L49" i="3"/>
  <c r="L11" i="3"/>
  <c r="L40" i="3"/>
  <c r="L32" i="4" s="1"/>
  <c r="J13" i="3"/>
  <c r="J34" i="3"/>
  <c r="J26" i="4" s="1"/>
  <c r="H33" i="2"/>
  <c r="H44" i="3"/>
  <c r="L11" i="2"/>
  <c r="L14" i="2" s="1"/>
  <c r="L9" i="2"/>
  <c r="L16" i="2"/>
  <c r="K16" i="2"/>
  <c r="K9" i="2"/>
  <c r="K11" i="2"/>
  <c r="K14" i="2"/>
  <c r="K60" i="3"/>
  <c r="H24" i="3"/>
  <c r="L46" i="4" l="1"/>
  <c r="L22" i="4"/>
  <c r="K46" i="4"/>
  <c r="J54" i="3"/>
  <c r="J31" i="4"/>
  <c r="J23" i="4"/>
  <c r="H46" i="3"/>
  <c r="H56" i="3" s="1"/>
  <c r="H30" i="4"/>
  <c r="H8" i="4"/>
  <c r="H33" i="4" s="1"/>
  <c r="H60" i="4" s="1"/>
  <c r="H61" i="4" s="1"/>
  <c r="I59" i="4" s="1"/>
  <c r="J24" i="4"/>
  <c r="L26" i="3"/>
  <c r="L19" i="2"/>
  <c r="L20" i="2" s="1"/>
  <c r="L23" i="3"/>
  <c r="L60" i="3"/>
  <c r="L38" i="3"/>
  <c r="L51" i="3"/>
  <c r="L15" i="3"/>
  <c r="L42" i="3"/>
  <c r="L17" i="3"/>
  <c r="L36" i="3"/>
  <c r="K15" i="3"/>
  <c r="L24" i="4" s="1"/>
  <c r="K38" i="3"/>
  <c r="K28" i="4" s="1"/>
  <c r="K51" i="3"/>
  <c r="K42" i="3"/>
  <c r="K29" i="4" s="1"/>
  <c r="K36" i="3"/>
  <c r="K27" i="4" s="1"/>
  <c r="K17" i="3"/>
  <c r="L25" i="4" s="1"/>
  <c r="L13" i="3"/>
  <c r="L34" i="3"/>
  <c r="K19" i="2"/>
  <c r="K20" i="2" s="1"/>
  <c r="K13" i="3"/>
  <c r="K23" i="4" s="1"/>
  <c r="K34" i="3"/>
  <c r="K26" i="4" s="1"/>
  <c r="L54" i="3"/>
  <c r="H28" i="3"/>
  <c r="H61" i="3" l="1"/>
  <c r="H64" i="3" s="1"/>
  <c r="H66" i="3" s="1"/>
  <c r="H9" i="3"/>
  <c r="H19" i="3" s="1"/>
  <c r="H30" i="3" s="1"/>
  <c r="K25" i="4"/>
  <c r="L27" i="4"/>
  <c r="K54" i="3"/>
  <c r="K31" i="4"/>
  <c r="L31" i="4"/>
  <c r="L28" i="4"/>
  <c r="L29" i="4"/>
  <c r="L23" i="4"/>
  <c r="K24" i="4"/>
  <c r="L26" i="4"/>
  <c r="I22" i="2"/>
  <c r="I28" i="2" s="1"/>
  <c r="G12" i="1"/>
  <c r="G6" i="4" s="1"/>
  <c r="H68" i="3" l="1"/>
  <c r="G6" i="3"/>
  <c r="G6" i="2"/>
  <c r="I30" i="2"/>
  <c r="I19" i="4" s="1"/>
  <c r="H12" i="1"/>
  <c r="H6" i="4" s="1"/>
  <c r="F12" i="1"/>
  <c r="F6" i="4" s="1"/>
  <c r="F6" i="3" l="1"/>
  <c r="H6" i="3"/>
  <c r="I33" i="2"/>
  <c r="I8" i="4" s="1"/>
  <c r="I61" i="3" s="1"/>
  <c r="I44" i="3"/>
  <c r="F6" i="2"/>
  <c r="H6" i="2"/>
  <c r="I12" i="1"/>
  <c r="I6" i="4" s="1"/>
  <c r="E12" i="1"/>
  <c r="E6" i="4" s="1"/>
  <c r="I46" i="3" l="1"/>
  <c r="I56" i="3" s="1"/>
  <c r="I30" i="4"/>
  <c r="I33" i="4"/>
  <c r="I60" i="4" s="1"/>
  <c r="I61" i="4" s="1"/>
  <c r="J59" i="4" s="1"/>
  <c r="I6" i="3"/>
  <c r="E6" i="3"/>
  <c r="I64" i="3"/>
  <c r="I66" i="3" s="1"/>
  <c r="I6" i="2"/>
  <c r="E6" i="2"/>
  <c r="I24" i="3"/>
  <c r="J12" i="1"/>
  <c r="J6" i="4" s="1"/>
  <c r="J6" i="3" l="1"/>
  <c r="I28" i="3"/>
  <c r="J6" i="2"/>
  <c r="I9" i="3"/>
  <c r="I19" i="3" s="1"/>
  <c r="I30" i="3" s="1"/>
  <c r="I68" i="3" s="1"/>
  <c r="K12" i="1"/>
  <c r="K6" i="4" s="1"/>
  <c r="K6" i="3" l="1"/>
  <c r="K6" i="2"/>
  <c r="J22" i="2"/>
  <c r="J28" i="2" s="1"/>
  <c r="L12" i="1"/>
  <c r="L6" i="4" s="1"/>
  <c r="L6" i="3" l="1"/>
  <c r="L6" i="2"/>
  <c r="J30" i="2"/>
  <c r="J19" i="4" s="1"/>
  <c r="J33" i="2" l="1"/>
  <c r="J8" i="4" s="1"/>
  <c r="J44" i="3"/>
  <c r="J61" i="3"/>
  <c r="J24" i="3"/>
  <c r="J46" i="3" l="1"/>
  <c r="J56" i="3" s="1"/>
  <c r="J30" i="4"/>
  <c r="J33" i="4"/>
  <c r="J60" i="4" s="1"/>
  <c r="J61" i="4" s="1"/>
  <c r="K59" i="4" s="1"/>
  <c r="J64" i="3"/>
  <c r="J28" i="3"/>
  <c r="J66" i="3"/>
  <c r="J9" i="3" l="1"/>
  <c r="J19" i="3" s="1"/>
  <c r="J30" i="3" s="1"/>
  <c r="J68" i="3" s="1"/>
  <c r="K22" i="2"/>
  <c r="K28" i="2" s="1"/>
  <c r="K30" i="2" l="1"/>
  <c r="K19" i="4" s="1"/>
  <c r="K33" i="2" l="1"/>
  <c r="K44" i="3"/>
  <c r="K46" i="3" l="1"/>
  <c r="K56" i="3" s="1"/>
  <c r="K30" i="4"/>
  <c r="K8" i="4"/>
  <c r="K33" i="4" s="1"/>
  <c r="K60" i="4" s="1"/>
  <c r="K61" i="4" s="1"/>
  <c r="L59" i="4" s="1"/>
  <c r="K24" i="3"/>
  <c r="K61" i="3" l="1"/>
  <c r="K64" i="3" s="1"/>
  <c r="K66" i="3" s="1"/>
  <c r="K28" i="3"/>
  <c r="K9" i="3"/>
  <c r="K19" i="3" s="1"/>
  <c r="K30" i="3" s="1"/>
  <c r="K68" i="3" s="1"/>
  <c r="L22" i="2" l="1"/>
  <c r="L28" i="2" s="1"/>
  <c r="L30" i="2" l="1"/>
  <c r="L19" i="4" s="1"/>
  <c r="L33" i="2" l="1"/>
  <c r="L8" i="4" s="1"/>
  <c r="L61" i="3" s="1"/>
  <c r="L64" i="3" s="1"/>
  <c r="L44" i="3"/>
  <c r="L24" i="3"/>
  <c r="L28" i="3" s="1"/>
  <c r="L46" i="3" l="1"/>
  <c r="L56" i="3" s="1"/>
  <c r="L30" i="4"/>
  <c r="L33" i="4" s="1"/>
  <c r="L60" i="4" s="1"/>
  <c r="L61" i="4" s="1"/>
  <c r="L9" i="3" s="1"/>
  <c r="L19" i="3" s="1"/>
  <c r="L30" i="3" s="1"/>
  <c r="L68" i="3" s="1"/>
  <c r="L6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<sst xmlns="http://schemas.openxmlformats.org/spreadsheetml/2006/main" count="264" uniqueCount="119">
  <si>
    <t>General Assumptions:</t>
  </si>
  <si>
    <t>Company Name:</t>
  </si>
  <si>
    <t>Ticker:</t>
  </si>
  <si>
    <t>Last Historical Year:</t>
  </si>
  <si>
    <t>($ in Millions Except Per Share and Per Unit Data)</t>
  </si>
  <si>
    <t>Income Statement:</t>
  </si>
  <si>
    <t>Gross Profit:</t>
  </si>
  <si>
    <t>Net Income:</t>
  </si>
  <si>
    <t>Balance Sheet:</t>
  </si>
  <si>
    <t>Cash &amp; Equivalents:</t>
  </si>
  <si>
    <t>Inventory:</t>
  </si>
  <si>
    <t>Total Current Assets:</t>
  </si>
  <si>
    <t>Other Long-Term Assets:</t>
  </si>
  <si>
    <t>Total Assets:</t>
  </si>
  <si>
    <t>Accounts Payable:</t>
  </si>
  <si>
    <t>Total Current Liabilities:</t>
  </si>
  <si>
    <t>Total Liabilities:</t>
  </si>
  <si>
    <t>Cash Flow Statement:</t>
  </si>
  <si>
    <t>Revenue Growth:</t>
  </si>
  <si>
    <t>Total Revenue:</t>
  </si>
  <si>
    <t>Operating Income (EBIT):</t>
  </si>
  <si>
    <t>Operating (EBIT) Margin:</t>
  </si>
  <si>
    <t>Pre-Tax Income:</t>
  </si>
  <si>
    <t>ASSETS:</t>
  </si>
  <si>
    <t>Current Assets:</t>
  </si>
  <si>
    <t>Non-Current Assets:</t>
  </si>
  <si>
    <t>Total Non-Current Assets:</t>
  </si>
  <si>
    <t>LIABILITIES AND EQUITY:</t>
  </si>
  <si>
    <t>Current Liabilities:</t>
  </si>
  <si>
    <t>Non-Current Liabilities:</t>
  </si>
  <si>
    <t>Equity:</t>
  </si>
  <si>
    <t>Balance Check:</t>
  </si>
  <si>
    <t>CASH FLOWS FROM OPERATING ACTIVITIES:</t>
  </si>
  <si>
    <t/>
  </si>
  <si>
    <t>Adjustments for Non-Cash Charges:</t>
  </si>
  <si>
    <t>Changes in Operating Assets and Liabilities:</t>
  </si>
  <si>
    <t>Net Cash Provided by Operating Activities:</t>
  </si>
  <si>
    <t>CASH FLOWS FROM INVESTING ACTIVITIES:</t>
  </si>
  <si>
    <t>Net Cash Used in Investing Activities:</t>
  </si>
  <si>
    <t>CASH FLOWS FROM FINANCING ACTIVITIES:</t>
  </si>
  <si>
    <t>Net Cash Provided by Financing Activities:</t>
  </si>
  <si>
    <t>Beginning Cash:</t>
  </si>
  <si>
    <t>Ending Cash:</t>
  </si>
  <si>
    <t>Units:</t>
  </si>
  <si>
    <t>%</t>
  </si>
  <si>
    <t>Total Liabilities &amp; Equity:</t>
  </si>
  <si>
    <t>Accounts Receivable:</t>
  </si>
  <si>
    <t>$ M</t>
  </si>
  <si>
    <t>Net PP&amp;E:</t>
  </si>
  <si>
    <t>Prepaid Expenses &amp; Other Assets:</t>
  </si>
  <si>
    <t>FX Rate Effects:</t>
  </si>
  <si>
    <t>Total Non-Current Liabilities:</t>
  </si>
  <si>
    <t>Accrued Liabilities:</t>
  </si>
  <si>
    <t>Deferred Revenue:</t>
  </si>
  <si>
    <t>M</t>
  </si>
  <si>
    <t>$</t>
  </si>
  <si>
    <t>Monster Market Share - Units:</t>
  </si>
  <si>
    <t>Energy Drink Market Size - Units:</t>
  </si>
  <si>
    <t>Growth Rate:</t>
  </si>
  <si>
    <t>Short-Term Investments:</t>
  </si>
  <si>
    <t>Deferred Tax Assets:</t>
  </si>
  <si>
    <t>(+/-) Change in Cash &amp; Cash Equivalents:</t>
  </si>
  <si>
    <t>Monster Beverage Corporation</t>
  </si>
  <si>
    <t>MNST</t>
  </si>
  <si>
    <t>Prepaid Income Taxes:</t>
  </si>
  <si>
    <t>Investments:</t>
  </si>
  <si>
    <t>Goodwill:</t>
  </si>
  <si>
    <t>Other Intangible Assets:</t>
  </si>
  <si>
    <t>Accrued Promotional Allowances:</t>
  </si>
  <si>
    <t>Accrued Compensation:</t>
  </si>
  <si>
    <t>Income Taxes Payable:</t>
  </si>
  <si>
    <t>Other Liabilities:</t>
  </si>
  <si>
    <t>Long-Term Debt:</t>
  </si>
  <si>
    <t>Common Stock:</t>
  </si>
  <si>
    <t>Additional Paid-In Capital:</t>
  </si>
  <si>
    <t>Retained Earnings:</t>
  </si>
  <si>
    <t>Accumulated Other Comprehensive Loss:</t>
  </si>
  <si>
    <t>Treasury Stock:</t>
  </si>
  <si>
    <t>Total Equity:</t>
  </si>
  <si>
    <t>Non-Cash Lease Expense:</t>
  </si>
  <si>
    <t>Stock-Based Compensation:</t>
  </si>
  <si>
    <t>Deferred Income Taxes:</t>
  </si>
  <si>
    <t>Inventories:</t>
  </si>
  <si>
    <t>Prepaid Expenses And Other Assets:</t>
  </si>
  <si>
    <t>Decrease (Increase) in Other Assets:</t>
  </si>
  <si>
    <t>Additions to Intangibles:</t>
  </si>
  <si>
    <t>Proceeds from Sale of Property &amp; Equipment:</t>
  </si>
  <si>
    <t>Purchases of Property And Equipment:</t>
  </si>
  <si>
    <t>Acquisition of Monster Brewing, Net of Cash:</t>
  </si>
  <si>
    <t>Acquisition of Bang Energy:</t>
  </si>
  <si>
    <t>Purchases of Available-For-Sale Investments:</t>
  </si>
  <si>
    <t>Sales of Available-For-Sale Investments:</t>
  </si>
  <si>
    <t>(Payments) Borrowings on Short-Term Debt:</t>
  </si>
  <si>
    <t>Borrowings on Credit Facilities:</t>
  </si>
  <si>
    <t>Payments on Credit Facilities:</t>
  </si>
  <si>
    <t>Payments for Debt Issuance Costs:</t>
  </si>
  <si>
    <t>Issuance of Common Stock:</t>
  </si>
  <si>
    <t>Purchases of Common Stock Held in Treasury:</t>
  </si>
  <si>
    <t>Gain on Bang Transaction:</t>
  </si>
  <si>
    <t>Impairment of Goodwill &amp; Other Intangibles:</t>
  </si>
  <si>
    <t>Impairment of Property &amp; Equipment:</t>
  </si>
  <si>
    <t>Loss (Gain) on Disposal of Property &amp; Equipment:</t>
  </si>
  <si>
    <t>Depreciation &amp; Amortization:</t>
  </si>
  <si>
    <t>Total Case Sales:</t>
  </si>
  <si>
    <t>Average Net Sales per Case:</t>
  </si>
  <si>
    <t>Cost of Sales:</t>
  </si>
  <si>
    <t>Provision For Income Taxes:</t>
  </si>
  <si>
    <t>Interest Income:</t>
  </si>
  <si>
    <t>Other Income / Expense:</t>
  </si>
  <si>
    <t>Operating Expenses:</t>
  </si>
  <si>
    <t>% Revenue:</t>
  </si>
  <si>
    <t>Interest Rate:</t>
  </si>
  <si>
    <t>Tax Rate:</t>
  </si>
  <si>
    <t>Revenue Drivers:</t>
  </si>
  <si>
    <t>% Cost of Sales:</t>
  </si>
  <si>
    <t>% Operating Expenses:</t>
  </si>
  <si>
    <t>% Book Taxes:</t>
  </si>
  <si>
    <t>Historical:</t>
  </si>
  <si>
    <t>Projected: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</si>
</sst>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"/>
    <numFmt numFmtId="165" formatCode="&quot;FY&quot;yy"/>
    <numFmt numFmtId="166" formatCode="_(#,##0.0%_);\(#,##0.0%\);_(&quot;–&quot;_)_%;_(@_)_%"/>
    <numFmt numFmtId="167" formatCode="_(* #,##0.0_);_(* \(#,##0.0\);_(* &quot;-&quot;?_);_(@_)"/>
    <numFmt numFmtId="168" formatCode="0.0%"/>
    <numFmt numFmtId="169" formatCode="_(&quot;$&quot;* #,##0.0_);_(&quot;$&quot;* \(#,##0.0\);_(&quot;$&quot;* &quot;-&quot;?_);_(@_)"/>
    <numFmt numFmtId="170" formatCode="&quot;$&quot;#,##0.000\);\(&quot;$&quot;#,##0.000\);&quot;OK!&quot;;&quot;ERROR&quot;"/>
    <numFmt numFmtId="171" formatCode="_(* #,##0.000_);_(* \(#,##0.000\);_(* &quot;-&quot;?_);_(@_)"/>
    <numFmt numFmtId="172" formatCode="0.0%;\(0.0%\)"/>
    <numFmt numFmtId="173" formatCode="#,##0.0_);\(#,##0.0\)"/>
    <numFmt numFmtId="174" formatCode="_(* #,##0.000_);_(* \(#,##0.000\);_(* &quot;-&quot;??_);_(@_)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2"/>
      <color rgb="FFFFFFFF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0000FF"/>
      <name val="Calibri"/>
      <family val="2"/>
    </font>
    <font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color rgb="FF0000FF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1" applyNumberFormat="0" applyFont="0" applyAlignment="0" applyProtection="0"/>
  </cellStyleXfs>
  <cellXfs count="74">
    <xf numFmtId="0" fontId="0" fillId="0" borderId="0" xfId="0"/>
    <xf numFmtId="39" fontId="3" fillId="5" borderId="2" xfId="1" applyNumberFormat="1" applyFont="1" applyFill="1" applyBorder="1" applyAlignment="1">
      <alignment horizontal="centerContinuous"/>
    </xf>
    <xf numFmtId="0" fontId="4" fillId="0" borderId="0" xfId="0" applyFont="1"/>
    <xf numFmtId="0" fontId="5" fillId="3" borderId="6" xfId="0" applyFont="1" applyFill="1" applyBorder="1"/>
    <xf numFmtId="0" fontId="6" fillId="3" borderId="6" xfId="0" applyFont="1" applyFill="1" applyBorder="1"/>
    <xf numFmtId="0" fontId="7" fillId="3" borderId="6" xfId="0" applyFont="1" applyFill="1" applyBorder="1"/>
    <xf numFmtId="0" fontId="3" fillId="5" borderId="1" xfId="1" applyFont="1" applyFill="1" applyAlignment="1">
      <alignment horizontal="center"/>
    </xf>
    <xf numFmtId="164" fontId="3" fillId="5" borderId="1" xfId="1" applyNumberFormat="1" applyFont="1" applyFill="1" applyAlignment="1">
      <alignment horizontal="center"/>
    </xf>
    <xf numFmtId="0" fontId="5" fillId="3" borderId="0" xfId="0" applyFont="1" applyFill="1" applyAlignment="1">
      <alignment vertical="center"/>
    </xf>
    <xf numFmtId="0" fontId="5" fillId="3" borderId="3" xfId="0" applyFont="1" applyFill="1" applyBorder="1" applyAlignment="1">
      <alignment horizontal="centerContinuous" vertical="center"/>
    </xf>
    <xf numFmtId="0" fontId="5" fillId="3" borderId="4" xfId="0" applyFont="1" applyFill="1" applyBorder="1" applyAlignment="1">
      <alignment horizontal="centerContinuous" vertical="center"/>
    </xf>
    <xf numFmtId="0" fontId="8" fillId="3" borderId="0" xfId="0" applyFont="1" applyFill="1" applyAlignment="1">
      <alignment horizontal="center" vertical="center"/>
    </xf>
    <xf numFmtId="165" fontId="5" fillId="3" borderId="0" xfId="0" applyNumberFormat="1" applyFont="1" applyFill="1" applyAlignment="1">
      <alignment horizontal="center" vertical="center"/>
    </xf>
    <xf numFmtId="165" fontId="5" fillId="3" borderId="5" xfId="0" applyNumberFormat="1" applyFont="1" applyFill="1" applyBorder="1" applyAlignment="1">
      <alignment horizontal="center" vertical="center"/>
    </xf>
    <xf numFmtId="0" fontId="4" fillId="4" borderId="6" xfId="0" applyFont="1" applyFill="1" applyBorder="1"/>
    <xf numFmtId="0" fontId="9" fillId="0" borderId="0" xfId="0" applyFont="1" applyAlignment="1">
      <alignment horizontal="center"/>
    </xf>
    <xf numFmtId="169" fontId="3" fillId="0" borderId="0" xfId="0" applyNumberFormat="1" applyFont="1"/>
    <xf numFmtId="0" fontId="9" fillId="0" borderId="0" xfId="0" applyFont="1" applyAlignment="1">
      <alignment horizontal="left" indent="1"/>
    </xf>
    <xf numFmtId="167" fontId="3" fillId="0" borderId="0" xfId="0" applyNumberFormat="1" applyFont="1"/>
    <xf numFmtId="0" fontId="4" fillId="0" borderId="0" xfId="0" applyFont="1" applyAlignment="1">
      <alignment horizontal="left"/>
    </xf>
    <xf numFmtId="167" fontId="4" fillId="0" borderId="0" xfId="0" applyNumberFormat="1" applyFont="1"/>
    <xf numFmtId="167" fontId="3" fillId="0" borderId="6" xfId="0" applyNumberFormat="1" applyFont="1" applyBorder="1"/>
    <xf numFmtId="49" fontId="4" fillId="4" borderId="6" xfId="0" applyNumberFormat="1" applyFont="1" applyFill="1" applyBorder="1"/>
    <xf numFmtId="0" fontId="9" fillId="0" borderId="0" xfId="0" applyFont="1"/>
    <xf numFmtId="170" fontId="9" fillId="0" borderId="0" xfId="0" applyNumberFormat="1" applyFont="1"/>
    <xf numFmtId="0" fontId="4" fillId="0" borderId="7" xfId="0" applyFont="1" applyBorder="1" applyAlignment="1">
      <alignment horizontal="left"/>
    </xf>
    <xf numFmtId="167" fontId="4" fillId="0" borderId="7" xfId="0" applyNumberFormat="1" applyFont="1" applyBorder="1"/>
    <xf numFmtId="0" fontId="4" fillId="0" borderId="7" xfId="0" applyFont="1" applyBorder="1"/>
    <xf numFmtId="172" fontId="10" fillId="5" borderId="1" xfId="1" applyNumberFormat="1" applyFont="1" applyFill="1" applyAlignment="1">
      <alignment horizontal="center"/>
    </xf>
    <xf numFmtId="0" fontId="5" fillId="3" borderId="6" xfId="0" applyFont="1" applyFill="1" applyBorder="1" applyAlignment="1">
      <alignment vertical="center"/>
    </xf>
    <xf numFmtId="0" fontId="8" fillId="3" borderId="6" xfId="0" applyFont="1" applyFill="1" applyBorder="1" applyAlignment="1">
      <alignment horizontal="center" vertical="center"/>
    </xf>
    <xf numFmtId="165" fontId="5" fillId="3" borderId="6" xfId="0" applyNumberFormat="1" applyFont="1" applyFill="1" applyBorder="1" applyAlignment="1">
      <alignment horizontal="center" vertical="center"/>
    </xf>
    <xf numFmtId="165" fontId="5" fillId="3" borderId="8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4" fillId="4" borderId="9" xfId="0" applyFont="1" applyFill="1" applyBorder="1"/>
    <xf numFmtId="39" fontId="3" fillId="5" borderId="1" xfId="1" applyNumberFormat="1" applyFont="1" applyFill="1" applyAlignment="1">
      <alignment horizontal="centerContinuous"/>
    </xf>
    <xf numFmtId="167" fontId="13" fillId="0" borderId="0" xfId="0" applyNumberFormat="1" applyFont="1"/>
    <xf numFmtId="168" fontId="14" fillId="0" borderId="0" xfId="0" applyNumberFormat="1" applyFont="1"/>
    <xf numFmtId="167" fontId="13" fillId="0" borderId="7" xfId="0" applyNumberFormat="1" applyFont="1" applyBorder="1"/>
    <xf numFmtId="169" fontId="13" fillId="0" borderId="7" xfId="0" applyNumberFormat="1" applyFont="1" applyBorder="1"/>
    <xf numFmtId="169" fontId="13" fillId="0" borderId="0" xfId="0" applyNumberFormat="1" applyFont="1"/>
    <xf numFmtId="167" fontId="11" fillId="0" borderId="0" xfId="0" applyNumberFormat="1" applyFont="1"/>
    <xf numFmtId="0" fontId="9" fillId="0" borderId="7" xfId="0" applyFont="1" applyBorder="1" applyAlignment="1">
      <alignment horizontal="center"/>
    </xf>
    <xf numFmtId="0" fontId="15" fillId="0" borderId="0" xfId="0" applyFont="1"/>
    <xf numFmtId="166" fontId="3" fillId="0" borderId="0" xfId="0" applyNumberFormat="1" applyFont="1"/>
    <xf numFmtId="173" fontId="3" fillId="0" borderId="0" xfId="0" applyNumberFormat="1" applyFont="1"/>
    <xf numFmtId="172" fontId="10" fillId="0" borderId="0" xfId="1" applyNumberFormat="1" applyFont="1" applyFill="1" applyBorder="1" applyAlignment="1"/>
    <xf numFmtId="173" fontId="11" fillId="0" borderId="0" xfId="0" applyNumberFormat="1" applyFont="1"/>
    <xf numFmtId="44" fontId="3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 indent="1"/>
    </xf>
    <xf numFmtId="0" fontId="1" fillId="0" borderId="6" xfId="0" applyFont="1" applyBorder="1" applyAlignment="1">
      <alignment horizontal="left" indent="1"/>
    </xf>
    <xf numFmtId="49" fontId="1" fillId="0" borderId="0" xfId="0" applyNumberFormat="1" applyFont="1" applyAlignment="1">
      <alignment horizontal="left" indent="1"/>
    </xf>
    <xf numFmtId="0" fontId="1" fillId="0" borderId="0" xfId="0" applyFont="1" applyAlignment="1">
      <alignment horizontal="left"/>
    </xf>
    <xf numFmtId="0" fontId="1" fillId="0" borderId="0" xfId="0" applyFont="1"/>
    <xf numFmtId="171" fontId="3" fillId="0" borderId="0" xfId="0" applyNumberFormat="1" applyFont="1"/>
    <xf numFmtId="166" fontId="1" fillId="0" borderId="0" xfId="0" applyNumberFormat="1" applyFont="1"/>
    <xf numFmtId="168" fontId="16" fillId="0" borderId="0" xfId="0" applyNumberFormat="1" applyFont="1"/>
    <xf numFmtId="44" fontId="1" fillId="0" borderId="0" xfId="0" applyNumberFormat="1" applyFont="1"/>
    <xf numFmtId="43" fontId="1" fillId="0" borderId="0" xfId="0" applyNumberFormat="1" applyFont="1"/>
    <xf numFmtId="167" fontId="1" fillId="0" borderId="0" xfId="0" applyNumberFormat="1" applyFont="1"/>
    <xf numFmtId="171" fontId="1" fillId="0" borderId="0" xfId="0" applyNumberFormat="1" applyFont="1"/>
    <xf numFmtId="168" fontId="1" fillId="0" borderId="0" xfId="0" applyNumberFormat="1" applyFont="1" applyAlignment="1">
      <alignment horizontal="right"/>
    </xf>
    <xf numFmtId="169" fontId="1" fillId="0" borderId="0" xfId="0" applyNumberFormat="1" applyFont="1"/>
    <xf numFmtId="167" fontId="1" fillId="0" borderId="6" xfId="0" applyNumberFormat="1" applyFont="1" applyBorder="1"/>
    <xf numFmtId="174" fontId="1" fillId="0" borderId="0" xfId="0" applyNumberFormat="1" applyFont="1"/>
    <xf numFmtId="169" fontId="12" fillId="0" borderId="0" xfId="0" applyNumberFormat="1" applyFont="1"/>
    <xf numFmtId="0" fontId="1" fillId="0" borderId="0" xfId="0" applyFont="1" applyAlignment="1">
      <alignment horizontal="left" indent="2"/>
    </xf>
    <xf numFmtId="168" fontId="3" fillId="0" borderId="0" xfId="0" applyNumberFormat="1" applyFont="1"/>
    <xf numFmtId="168" fontId="11" fillId="0" borderId="0" xfId="0" applyNumberFormat="1" applyFont="1"/>
    <xf numFmtId="49" fontId="1" fillId="0" borderId="0" xfId="0" applyNumberFormat="1" applyFont="1" applyAlignment="1">
      <alignment horizontal="left" indent="2"/>
    </xf>
    <xf numFmtId="0" fontId="1" fillId="0" borderId="6" xfId="0" applyFont="1" applyBorder="1" applyAlignment="1">
      <alignment horizontal="left" indent="2"/>
    </xf>
    <xf numFmtId="168" fontId="11" fillId="0" borderId="6" xfId="0" applyNumberFormat="1" applyFont="1" applyBorder="1"/>
    <xf numFmtId="169" fontId="17" fillId="0" borderId="0" xfId="0" applyNumberFormat="1" applyFont="1"/>
    <xf numFmtId="169" fontId="18" fillId="0" borderId="0" xfId="0" applyNumberFormat="1" applyFont="1"/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O83"/>
  <sheetViews>
    <sheetView showGridLines="0" tabSelected="1" zoomScaleNormal="100" workbookViewId="0">
      <selection activeCell="B2" sqref="B2"/>
    </sheetView>
  </sheetViews>
  <sheetFormatPr defaultRowHeight="15.75" outlineLevelRow="1" x14ac:dyDescent="0.25"/>
  <cols>
    <col min="1" max="2" width="2.7109375" style="53" customWidth="1"/>
    <col min="3" max="3" width="51.7109375" style="53" bestFit="1" customWidth="1"/>
    <col min="4" max="7" width="12.7109375" style="53" customWidth="1"/>
    <col min="8" max="8" width="12.7109375" style="53" bestFit="1" customWidth="1"/>
    <col min="9" max="12" width="11.7109375" style="53" customWidth="1"/>
    <col min="13" max="14" width="2.7109375" style="53" customWidth="1"/>
    <col min="15" max="22" width="11.7109375" style="53" customWidth="1"/>
    <col min="23" max="16384" width="9.140625" style="53"/>
  </cols>
  <sheetData>
    <row r="2" spans="2:12" ht="18.75" x14ac:dyDescent="0.3">
      <c r="B2" s="43" t="str">
        <f>Company_Name&amp;" - Assumptions and Drivers"</f>
        <v>Monster Beverage Corporation - Assumptions and Drivers</v>
      </c>
    </row>
    <row r="3" spans="2:12" x14ac:dyDescent="0.25">
      <c r="B3" s="53" t="s">
        <v>4</v>
      </c>
    </row>
    <row r="5" spans="2:12" x14ac:dyDescent="0.25">
      <c r="B5" s="3" t="s">
        <v>0</v>
      </c>
      <c r="C5" s="4"/>
      <c r="D5" s="5"/>
      <c r="E5" s="4"/>
      <c r="F5" s="4"/>
      <c r="G5" s="4"/>
      <c r="H5" s="4"/>
      <c r="I5" s="5"/>
      <c r="J5" s="4"/>
      <c r="K5" s="4"/>
      <c r="L5" s="4"/>
    </row>
    <row r="6" spans="2:12" outlineLevel="1" x14ac:dyDescent="0.25"/>
    <row r="7" spans="2:12" outlineLevel="1" x14ac:dyDescent="0.25">
      <c r="C7" s="53" t="s">
        <v>1</v>
      </c>
      <c r="D7" s="1" t="s">
        <v>62</v>
      </c>
      <c r="E7" s="1"/>
      <c r="F7" s="35"/>
    </row>
    <row r="8" spans="2:12" outlineLevel="1" x14ac:dyDescent="0.25">
      <c r="C8" s="53" t="s">
        <v>2</v>
      </c>
      <c r="D8" s="6" t="s">
        <v>63</v>
      </c>
    </row>
    <row r="9" spans="2:12" outlineLevel="1" x14ac:dyDescent="0.25">
      <c r="C9" s="53" t="s">
        <v>3</v>
      </c>
      <c r="D9" s="7">
        <v>45657</v>
      </c>
    </row>
    <row r="11" spans="2:12" x14ac:dyDescent="0.25">
      <c r="B11" s="8"/>
      <c r="C11" s="8"/>
      <c r="D11" s="8"/>
      <c r="E11" s="9" t="s">
        <v>117</v>
      </c>
      <c r="F11" s="9"/>
      <c r="G11" s="9"/>
      <c r="H11" s="10" t="s">
        <v>118</v>
      </c>
      <c r="I11" s="9"/>
      <c r="J11" s="9"/>
      <c r="K11" s="9"/>
      <c r="L11" s="9"/>
    </row>
    <row r="12" spans="2:12" x14ac:dyDescent="0.25">
      <c r="B12" s="8" t="s">
        <v>113</v>
      </c>
      <c r="C12" s="8"/>
      <c r="D12" s="11" t="s">
        <v>43</v>
      </c>
      <c r="E12" s="12">
        <f>EOMONTH(F12,-12)</f>
        <v>44926</v>
      </c>
      <c r="F12" s="12">
        <f>EOMONTH(G12,-12)</f>
        <v>45291</v>
      </c>
      <c r="G12" s="12">
        <f>Hist_Yr</f>
        <v>45657</v>
      </c>
      <c r="H12" s="13">
        <f>EOMONTH(G12,12)</f>
        <v>46022</v>
      </c>
      <c r="I12" s="12">
        <f>EOMONTH(H12,12)</f>
        <v>46387</v>
      </c>
      <c r="J12" s="12">
        <f>EOMONTH(I12,12)</f>
        <v>46752</v>
      </c>
      <c r="K12" s="12">
        <f>EOMONTH(J12,12)</f>
        <v>47118</v>
      </c>
      <c r="L12" s="12">
        <f>EOMONTH(K12,12)</f>
        <v>47483</v>
      </c>
    </row>
    <row r="13" spans="2:12" outlineLevel="1" x14ac:dyDescent="0.25"/>
    <row r="14" spans="2:12" outlineLevel="1" x14ac:dyDescent="0.25">
      <c r="B14" s="2"/>
      <c r="C14" s="52" t="s">
        <v>103</v>
      </c>
      <c r="D14" s="15" t="s">
        <v>54</v>
      </c>
      <c r="E14" s="45">
        <v>701.67700000000002</v>
      </c>
      <c r="F14" s="45">
        <v>769.24099999999999</v>
      </c>
      <c r="G14" s="45">
        <v>846.66300000000001</v>
      </c>
      <c r="H14" s="47">
        <f>H19*H21</f>
        <v>948.52865408571415</v>
      </c>
      <c r="I14" s="47">
        <f>I19*I21</f>
        <v>1059.7497891791998</v>
      </c>
      <c r="J14" s="47">
        <f>J19*J21</f>
        <v>1177.3080797462878</v>
      </c>
      <c r="K14" s="47">
        <f>K19*K21</f>
        <v>1306.9504753512911</v>
      </c>
      <c r="L14" s="47">
        <f>L19*L21</f>
        <v>1451.1998015551228</v>
      </c>
    </row>
    <row r="15" spans="2:12" outlineLevel="1" x14ac:dyDescent="0.25">
      <c r="B15" s="2"/>
      <c r="C15" s="49"/>
      <c r="D15" s="15"/>
      <c r="E15" s="55"/>
      <c r="F15" s="55"/>
      <c r="G15" s="55"/>
      <c r="H15" s="46"/>
      <c r="I15" s="46"/>
      <c r="J15" s="46"/>
      <c r="K15" s="46"/>
      <c r="L15" s="46"/>
    </row>
    <row r="16" spans="2:12" outlineLevel="1" x14ac:dyDescent="0.25">
      <c r="B16" s="2"/>
      <c r="C16" s="52" t="s">
        <v>104</v>
      </c>
      <c r="D16" s="15" t="s">
        <v>55</v>
      </c>
      <c r="E16" s="57">
        <f>IS!E8/E14</f>
        <v>8.9942380896053304</v>
      </c>
      <c r="F16" s="57">
        <f>IS!F8/F14</f>
        <v>9.2819116505750472</v>
      </c>
      <c r="G16" s="57">
        <f>IS!G8/G14</f>
        <v>8.84969462466176</v>
      </c>
      <c r="H16" s="48">
        <v>8.8000000000000007</v>
      </c>
      <c r="I16" s="48">
        <v>8.9</v>
      </c>
      <c r="J16" s="48">
        <v>9</v>
      </c>
      <c r="K16" s="48">
        <v>9.0500000000000007</v>
      </c>
      <c r="L16" s="48">
        <v>9.1</v>
      </c>
    </row>
    <row r="17" spans="2:15" outlineLevel="1" x14ac:dyDescent="0.25">
      <c r="B17" s="2"/>
      <c r="C17" s="49" t="s">
        <v>58</v>
      </c>
      <c r="D17" s="15" t="s">
        <v>44</v>
      </c>
      <c r="E17" s="44">
        <v>-4.3162015469178083E-3</v>
      </c>
      <c r="F17" s="55">
        <f>F16/E16-1</f>
        <v>3.1984205677430433E-2</v>
      </c>
      <c r="G17" s="55">
        <f>G16/F16-1</f>
        <v>-4.6565518201900802E-2</v>
      </c>
      <c r="H17" s="55">
        <f t="shared" ref="H17:L17" si="0">H16/G16-1</f>
        <v>-5.6154055896203703E-3</v>
      </c>
      <c r="I17" s="55">
        <f t="shared" si="0"/>
        <v>1.1363636363636243E-2</v>
      </c>
      <c r="J17" s="55">
        <f t="shared" si="0"/>
        <v>1.1235955056179803E-2</v>
      </c>
      <c r="K17" s="55">
        <f t="shared" si="0"/>
        <v>5.5555555555555358E-3</v>
      </c>
      <c r="L17" s="55">
        <f t="shared" si="0"/>
        <v>5.5248618784529135E-3</v>
      </c>
    </row>
    <row r="18" spans="2:15" outlineLevel="1" x14ac:dyDescent="0.25">
      <c r="B18" s="2"/>
      <c r="C18" s="49"/>
      <c r="D18" s="15"/>
      <c r="E18" s="57"/>
      <c r="F18" s="55"/>
      <c r="G18" s="55"/>
      <c r="H18" s="46"/>
      <c r="I18" s="46"/>
      <c r="J18" s="46"/>
      <c r="K18" s="46"/>
      <c r="L18" s="46"/>
    </row>
    <row r="19" spans="2:15" outlineLevel="1" x14ac:dyDescent="0.25">
      <c r="B19" s="2"/>
      <c r="C19" s="52" t="s">
        <v>56</v>
      </c>
      <c r="D19" s="15" t="s">
        <v>44</v>
      </c>
      <c r="E19" s="44">
        <v>0.37</v>
      </c>
      <c r="F19" s="44">
        <v>0.36</v>
      </c>
      <c r="G19" s="44">
        <v>0.35</v>
      </c>
      <c r="H19" s="28">
        <v>0.34699999999999998</v>
      </c>
      <c r="I19" s="28">
        <v>0.34399999999999997</v>
      </c>
      <c r="J19" s="28">
        <v>0.34</v>
      </c>
      <c r="K19" s="28">
        <v>0.33700000000000002</v>
      </c>
      <c r="L19" s="28">
        <v>0.33500000000000002</v>
      </c>
    </row>
    <row r="20" spans="2:15" outlineLevel="1" x14ac:dyDescent="0.25">
      <c r="B20" s="2"/>
      <c r="C20" s="49"/>
      <c r="D20" s="15"/>
      <c r="E20" s="55"/>
      <c r="F20" s="55"/>
      <c r="G20" s="55"/>
      <c r="H20" s="46"/>
      <c r="I20" s="46"/>
      <c r="J20" s="46"/>
      <c r="K20" s="46"/>
      <c r="L20" s="46"/>
    </row>
    <row r="21" spans="2:15" outlineLevel="1" x14ac:dyDescent="0.25">
      <c r="B21" s="2"/>
      <c r="C21" s="52" t="s">
        <v>57</v>
      </c>
      <c r="D21" s="15" t="s">
        <v>54</v>
      </c>
      <c r="E21" s="47">
        <f>E14/E19</f>
        <v>1896.4243243243245</v>
      </c>
      <c r="F21" s="47">
        <f>F14/F19</f>
        <v>2136.7805555555556</v>
      </c>
      <c r="G21" s="47">
        <f>G14/G19</f>
        <v>2419.037142857143</v>
      </c>
      <c r="H21" s="47">
        <f>G21*(1+H22)</f>
        <v>2733.5119714285711</v>
      </c>
      <c r="I21" s="47">
        <f>H21*(1+I22)</f>
        <v>3080.6679917999995</v>
      </c>
      <c r="J21" s="47">
        <f>I21*(1+J22)</f>
        <v>3462.6708227831996</v>
      </c>
      <c r="K21" s="47">
        <f>J21*(1+K22)</f>
        <v>3878.191321517184</v>
      </c>
      <c r="L21" s="47">
        <f>K21*(1+L22)</f>
        <v>4331.9397061346945</v>
      </c>
    </row>
    <row r="22" spans="2:15" outlineLevel="1" x14ac:dyDescent="0.25">
      <c r="B22" s="2"/>
      <c r="C22" s="49" t="s">
        <v>58</v>
      </c>
      <c r="D22" s="15" t="s">
        <v>44</v>
      </c>
      <c r="E22" s="44">
        <v>0.124</v>
      </c>
      <c r="F22" s="55">
        <f>F21/E21-1</f>
        <v>0.12674179936859198</v>
      </c>
      <c r="G22" s="55">
        <f>G21/F21-1</f>
        <v>0.13209432600260707</v>
      </c>
      <c r="H22" s="28">
        <v>0.13</v>
      </c>
      <c r="I22" s="28">
        <v>0.127</v>
      </c>
      <c r="J22" s="28">
        <v>0.124</v>
      </c>
      <c r="K22" s="28">
        <v>0.12</v>
      </c>
      <c r="L22" s="28">
        <v>0.11700000000000001</v>
      </c>
    </row>
    <row r="23" spans="2:15" outlineLevel="1" x14ac:dyDescent="0.25">
      <c r="B23" s="2"/>
      <c r="C23" s="49"/>
      <c r="D23" s="15"/>
      <c r="E23" s="55"/>
      <c r="F23" s="55"/>
      <c r="G23" s="55"/>
      <c r="H23" s="46"/>
      <c r="I23" s="46"/>
      <c r="J23" s="46"/>
      <c r="K23" s="46"/>
      <c r="L23" s="46"/>
    </row>
    <row r="28" spans="2:15" ht="14.45" customHeight="1" x14ac:dyDescent="0.25"/>
    <row r="29" spans="2:15" x14ac:dyDescent="0.25">
      <c r="O29" s="58"/>
    </row>
    <row r="75" ht="14.45" customHeight="1" x14ac:dyDescent="0.25"/>
    <row r="77" ht="14.45" customHeight="1" x14ac:dyDescent="0.25"/>
    <row r="80" ht="14.45" customHeight="1" x14ac:dyDescent="0.25"/>
    <row r="81" spans="5:8" ht="14.45" customHeight="1" x14ac:dyDescent="0.25"/>
    <row r="82" spans="5:8" x14ac:dyDescent="0.25">
      <c r="F82" s="62"/>
      <c r="G82" s="62"/>
    </row>
    <row r="83" spans="5:8" x14ac:dyDescent="0.25">
      <c r="E83" s="62"/>
      <c r="F83" s="62"/>
      <c r="G83" s="62"/>
      <c r="H83" s="62"/>
    </row>
  </sheetData>
  <pageMargins left="0.7" right="0.7" top="0.75" bottom="0.75" header="0.3" footer="0.3"/>
  <pageSetup scale="49" orientation="portrait" horizontalDpi="200" verticalDpi="200" r:id="rId1"/>
  <rowBreaks count="1" manualBreakCount="1">
    <brk id="23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5F2C4-B56F-48F3-8E6D-832EF89AC67D}">
  <sheetPr>
    <pageSetUpPr autoPageBreaks="0"/>
  </sheetPr>
  <dimension ref="B2:L34"/>
  <sheetViews>
    <sheetView showGridLines="0" zoomScaleNormal="100" workbookViewId="0">
      <selection activeCell="B2" sqref="B2"/>
    </sheetView>
  </sheetViews>
  <sheetFormatPr defaultRowHeight="15.75" outlineLevelRow="1" outlineLevelCol="1" x14ac:dyDescent="0.25"/>
  <cols>
    <col min="1" max="2" width="2.7109375" style="53" customWidth="1"/>
    <col min="3" max="3" width="51.7109375" style="53" bestFit="1" customWidth="1"/>
    <col min="4" max="4" width="12.7109375" style="53" customWidth="1"/>
    <col min="5" max="7" width="12.7109375" style="53" customWidth="1" outlineLevel="1"/>
    <col min="8" max="8" width="12.7109375" style="53" bestFit="1" customWidth="1"/>
    <col min="9" max="12" width="11.7109375" style="53" customWidth="1"/>
    <col min="13" max="14" width="2.7109375" style="53" customWidth="1"/>
    <col min="15" max="22" width="11.7109375" style="53" customWidth="1"/>
    <col min="23" max="16384" width="9.140625" style="53"/>
  </cols>
  <sheetData>
    <row r="2" spans="2:12" ht="18.75" x14ac:dyDescent="0.3">
      <c r="B2" s="43" t="str" cm="1">
        <f t="array" ref="B2">Company_Name&amp;" - Income Statement"</f>
        <v>Monster Beverage Corporation - Income Statement</v>
      </c>
    </row>
    <row r="3" spans="2:12" x14ac:dyDescent="0.25">
      <c r="B3" s="53" t="str">
        <f>MNST!$B$3</f>
        <v>($ in Millions Except Per Share and Per Unit Data)</v>
      </c>
    </row>
    <row r="5" spans="2:12" x14ac:dyDescent="0.25">
      <c r="B5" s="8"/>
      <c r="C5" s="8"/>
      <c r="D5" s="8"/>
      <c r="E5" s="9" t="str">
        <f>MNST!$E$11</f>
        <v>Historical:</v>
      </c>
      <c r="F5" s="9"/>
      <c r="G5" s="9"/>
      <c r="H5" s="10" t="str">
        <f>MNST!$H$11</f>
        <v>Projected:</v>
      </c>
      <c r="I5" s="9"/>
      <c r="J5" s="9"/>
      <c r="K5" s="9"/>
      <c r="L5" s="9"/>
    </row>
    <row r="6" spans="2:12" x14ac:dyDescent="0.25">
      <c r="B6" s="29" t="s">
        <v>5</v>
      </c>
      <c r="C6" s="29"/>
      <c r="D6" s="30" t="str">
        <f>MNST!$D$12</f>
        <v>Units:</v>
      </c>
      <c r="E6" s="31">
        <f>MNST!$E$12</f>
        <v>44926</v>
      </c>
      <c r="F6" s="31">
        <f>MNST!$F$12</f>
        <v>45291</v>
      </c>
      <c r="G6" s="31">
        <f>MNST!$G$12</f>
        <v>45657</v>
      </c>
      <c r="H6" s="32">
        <f>MNST!$H$12</f>
        <v>46022</v>
      </c>
      <c r="I6" s="31">
        <f>MNST!$I$12</f>
        <v>46387</v>
      </c>
      <c r="J6" s="31">
        <f>MNST!$J$12</f>
        <v>46752</v>
      </c>
      <c r="K6" s="31">
        <f>MNST!$K$12</f>
        <v>47118</v>
      </c>
      <c r="L6" s="31">
        <f>MNST!$L$12</f>
        <v>47483</v>
      </c>
    </row>
    <row r="7" spans="2:12" outlineLevel="1" x14ac:dyDescent="0.25">
      <c r="C7" s="2"/>
      <c r="D7" s="15"/>
    </row>
    <row r="8" spans="2:12" outlineLevel="1" x14ac:dyDescent="0.25">
      <c r="C8" s="2" t="s">
        <v>19</v>
      </c>
      <c r="D8" s="15" t="s">
        <v>47</v>
      </c>
      <c r="E8" s="65">
        <v>6311.05</v>
      </c>
      <c r="F8" s="65">
        <v>7140.027</v>
      </c>
      <c r="G8" s="65">
        <v>7492.7089999999998</v>
      </c>
      <c r="H8" s="40">
        <f>MNST!H14*MNST!H16</f>
        <v>8347.0521559542849</v>
      </c>
      <c r="I8" s="40">
        <f>MNST!I14*MNST!I16</f>
        <v>9431.7731236948784</v>
      </c>
      <c r="J8" s="40">
        <f>MNST!J14*MNST!J16</f>
        <v>10595.772717716591</v>
      </c>
      <c r="K8" s="40">
        <f>MNST!K14*MNST!K16</f>
        <v>11827.901801929185</v>
      </c>
      <c r="L8" s="40">
        <f>MNST!L14*MNST!L16</f>
        <v>13205.918194151616</v>
      </c>
    </row>
    <row r="9" spans="2:12" outlineLevel="1" x14ac:dyDescent="0.25">
      <c r="C9" s="17" t="s">
        <v>18</v>
      </c>
      <c r="D9" s="15" t="s">
        <v>44</v>
      </c>
      <c r="E9" s="56">
        <v>0.13889089399790677</v>
      </c>
      <c r="F9" s="37">
        <f t="shared" ref="F9:L9" si="0">F8/E8-1</f>
        <v>0.13135326134319958</v>
      </c>
      <c r="G9" s="37">
        <f t="shared" si="0"/>
        <v>4.9395051307228988E-2</v>
      </c>
      <c r="H9" s="37">
        <f t="shared" si="0"/>
        <v>0.1140232666121539</v>
      </c>
      <c r="I9" s="37">
        <f t="shared" si="0"/>
        <v>0.12995258056064962</v>
      </c>
      <c r="J9" s="37">
        <f t="shared" si="0"/>
        <v>0.12341259472171417</v>
      </c>
      <c r="K9" s="37">
        <f t="shared" si="0"/>
        <v>0.11628496732026172</v>
      </c>
      <c r="L9" s="37">
        <f t="shared" si="0"/>
        <v>0.11650556584750049</v>
      </c>
    </row>
    <row r="10" spans="2:12" outlineLevel="1" x14ac:dyDescent="0.25"/>
    <row r="11" spans="2:12" outlineLevel="1" x14ac:dyDescent="0.25">
      <c r="C11" s="49" t="s">
        <v>105</v>
      </c>
      <c r="D11" s="15" t="s">
        <v>47</v>
      </c>
      <c r="E11" s="18">
        <v>3136.4830000000002</v>
      </c>
      <c r="F11" s="18">
        <v>3345.8209999999999</v>
      </c>
      <c r="G11" s="18">
        <v>3443.8310000000001</v>
      </c>
      <c r="H11" s="59">
        <f>H12*H8</f>
        <v>3814.6028352711082</v>
      </c>
      <c r="I11" s="59">
        <f>I12*I8</f>
        <v>4291.4567712811695</v>
      </c>
      <c r="J11" s="59">
        <f>J12*J8</f>
        <v>4799.8850411256153</v>
      </c>
      <c r="K11" s="59">
        <f>K12*K8</f>
        <v>5322.5558108681334</v>
      </c>
      <c r="L11" s="59">
        <f>L12*L8</f>
        <v>5942.6631873682272</v>
      </c>
    </row>
    <row r="12" spans="2:12" outlineLevel="1" x14ac:dyDescent="0.25">
      <c r="C12" s="66" t="s">
        <v>110</v>
      </c>
      <c r="D12" s="15" t="s">
        <v>44</v>
      </c>
      <c r="E12" s="68">
        <f>E11/E$8</f>
        <v>0.49698275247383561</v>
      </c>
      <c r="F12" s="68">
        <f>F11/F$8</f>
        <v>0.46860060893327155</v>
      </c>
      <c r="G12" s="68">
        <f>G11/G$8</f>
        <v>0.45962428275274003</v>
      </c>
      <c r="H12" s="67">
        <v>0.45700000000000002</v>
      </c>
      <c r="I12" s="67">
        <v>0.45500000000000002</v>
      </c>
      <c r="J12" s="67">
        <v>0.45300000000000001</v>
      </c>
      <c r="K12" s="67">
        <v>0.45</v>
      </c>
      <c r="L12" s="67">
        <v>0.45</v>
      </c>
    </row>
    <row r="13" spans="2:12" outlineLevel="1" x14ac:dyDescent="0.25">
      <c r="E13" s="18"/>
      <c r="F13" s="18"/>
      <c r="G13" s="18"/>
      <c r="H13" s="59"/>
      <c r="I13" s="59"/>
      <c r="J13" s="59"/>
      <c r="K13" s="59"/>
      <c r="L13" s="59"/>
    </row>
    <row r="14" spans="2:12" outlineLevel="1" x14ac:dyDescent="0.25">
      <c r="C14" s="19" t="s">
        <v>6</v>
      </c>
      <c r="D14" s="15" t="s">
        <v>47</v>
      </c>
      <c r="E14" s="36">
        <f t="shared" ref="E14:L14" si="1">E8-E11</f>
        <v>3174.567</v>
      </c>
      <c r="F14" s="36">
        <f t="shared" si="1"/>
        <v>3794.2060000000001</v>
      </c>
      <c r="G14" s="36">
        <f t="shared" si="1"/>
        <v>4048.8779999999997</v>
      </c>
      <c r="H14" s="36">
        <f t="shared" si="1"/>
        <v>4532.4493206831767</v>
      </c>
      <c r="I14" s="36">
        <f t="shared" si="1"/>
        <v>5140.316352413709</v>
      </c>
      <c r="J14" s="36">
        <f t="shared" si="1"/>
        <v>5795.8876765909754</v>
      </c>
      <c r="K14" s="36">
        <f t="shared" si="1"/>
        <v>6505.3459910610518</v>
      </c>
      <c r="L14" s="36">
        <f t="shared" si="1"/>
        <v>7263.255006783389</v>
      </c>
    </row>
    <row r="15" spans="2:12" outlineLevel="1" x14ac:dyDescent="0.25">
      <c r="C15" s="17"/>
      <c r="E15" s="61"/>
      <c r="F15" s="61"/>
      <c r="G15" s="61"/>
      <c r="H15" s="59"/>
      <c r="I15" s="59"/>
      <c r="J15" s="59"/>
      <c r="K15" s="59"/>
      <c r="L15" s="59"/>
    </row>
    <row r="16" spans="2:12" outlineLevel="1" x14ac:dyDescent="0.25">
      <c r="C16" s="49" t="s">
        <v>109</v>
      </c>
      <c r="D16" s="15" t="s">
        <v>47</v>
      </c>
      <c r="E16" s="18">
        <v>1589.846</v>
      </c>
      <c r="F16" s="18">
        <v>1840.8510000000001</v>
      </c>
      <c r="G16" s="18">
        <v>2118.5839999999998</v>
      </c>
      <c r="H16" s="59">
        <f>H17*H8</f>
        <v>2378.9098644469709</v>
      </c>
      <c r="I16" s="59">
        <f>I17*I8</f>
        <v>2706.9188865004298</v>
      </c>
      <c r="J16" s="59">
        <f>J17*J8</f>
        <v>3072.7740881378113</v>
      </c>
      <c r="K16" s="59">
        <f>K17*K8</f>
        <v>3465.5752279652511</v>
      </c>
      <c r="L16" s="59">
        <f>L17*L8</f>
        <v>3895.7458672747266</v>
      </c>
    </row>
    <row r="17" spans="3:12" outlineLevel="1" x14ac:dyDescent="0.25">
      <c r="C17" s="69" t="s">
        <v>110</v>
      </c>
      <c r="E17" s="68">
        <f>E16/E$8</f>
        <v>0.25191465762432558</v>
      </c>
      <c r="F17" s="68">
        <f>F16/F$8</f>
        <v>0.25782129395309011</v>
      </c>
      <c r="G17" s="68">
        <f>G16/G$8</f>
        <v>0.28275274003034145</v>
      </c>
      <c r="H17" s="67">
        <v>0.28499999999999998</v>
      </c>
      <c r="I17" s="67">
        <v>0.28699999999999998</v>
      </c>
      <c r="J17" s="67">
        <v>0.28999999999999998</v>
      </c>
      <c r="K17" s="67">
        <v>0.29299999999999998</v>
      </c>
      <c r="L17" s="67">
        <v>0.29499999999999998</v>
      </c>
    </row>
    <row r="18" spans="3:12" outlineLevel="1" x14ac:dyDescent="0.25">
      <c r="C18" s="51"/>
      <c r="E18" s="18"/>
      <c r="F18" s="18"/>
      <c r="G18" s="18"/>
      <c r="H18" s="18"/>
      <c r="I18" s="18"/>
      <c r="J18" s="18"/>
      <c r="K18" s="18"/>
      <c r="L18" s="18"/>
    </row>
    <row r="19" spans="3:12" outlineLevel="1" x14ac:dyDescent="0.25">
      <c r="C19" s="19" t="s">
        <v>20</v>
      </c>
      <c r="D19" s="15" t="s">
        <v>47</v>
      </c>
      <c r="E19" s="36">
        <f t="shared" ref="E19:L19" si="2">E14-E16</f>
        <v>1584.721</v>
      </c>
      <c r="F19" s="36">
        <f t="shared" si="2"/>
        <v>1953.355</v>
      </c>
      <c r="G19" s="36">
        <f t="shared" si="2"/>
        <v>1930.2939999999999</v>
      </c>
      <c r="H19" s="36">
        <f t="shared" si="2"/>
        <v>2153.5394562362058</v>
      </c>
      <c r="I19" s="36">
        <f t="shared" si="2"/>
        <v>2433.3974659132791</v>
      </c>
      <c r="J19" s="36">
        <f t="shared" si="2"/>
        <v>2723.1135884531641</v>
      </c>
      <c r="K19" s="36">
        <f t="shared" si="2"/>
        <v>3039.7707630958007</v>
      </c>
      <c r="L19" s="36">
        <f t="shared" si="2"/>
        <v>3367.5091395086624</v>
      </c>
    </row>
    <row r="20" spans="3:12" outlineLevel="1" x14ac:dyDescent="0.25">
      <c r="C20" s="17" t="s">
        <v>21</v>
      </c>
      <c r="D20" s="15" t="s">
        <v>44</v>
      </c>
      <c r="E20" s="37">
        <f t="shared" ref="E20:L20" si="3">E19/E8</f>
        <v>0.25110258990183881</v>
      </c>
      <c r="F20" s="37">
        <f t="shared" si="3"/>
        <v>0.27357809711363834</v>
      </c>
      <c r="G20" s="37">
        <f t="shared" si="3"/>
        <v>0.25762297721691846</v>
      </c>
      <c r="H20" s="37">
        <f t="shared" si="3"/>
        <v>0.25800000000000001</v>
      </c>
      <c r="I20" s="37">
        <f t="shared" si="3"/>
        <v>0.25800000000000006</v>
      </c>
      <c r="J20" s="37">
        <f t="shared" si="3"/>
        <v>0.25700000000000001</v>
      </c>
      <c r="K20" s="37">
        <f t="shared" si="3"/>
        <v>0.25700000000000001</v>
      </c>
      <c r="L20" s="37">
        <f t="shared" si="3"/>
        <v>0.255</v>
      </c>
    </row>
    <row r="21" spans="3:12" outlineLevel="1" x14ac:dyDescent="0.25">
      <c r="E21" s="59"/>
      <c r="F21" s="59"/>
      <c r="G21" s="59"/>
      <c r="H21" s="59"/>
      <c r="I21" s="59"/>
      <c r="J21" s="59"/>
      <c r="K21" s="59"/>
      <c r="L21" s="59"/>
    </row>
    <row r="22" spans="3:12" outlineLevel="1" x14ac:dyDescent="0.25">
      <c r="C22" s="53" t="s">
        <v>107</v>
      </c>
      <c r="D22" s="15" t="s">
        <v>47</v>
      </c>
      <c r="E22" s="18">
        <v>0</v>
      </c>
      <c r="F22" s="18">
        <v>130</v>
      </c>
      <c r="G22" s="18">
        <v>115</v>
      </c>
      <c r="H22" s="59">
        <f>H23*(BS!G9+BS!G10+BS!G22)</f>
        <v>68.997915000000006</v>
      </c>
      <c r="I22" s="59">
        <f>I23*(BS!H9+BS!H10+BS!H22)</f>
        <v>78.932479076587541</v>
      </c>
      <c r="J22" s="59">
        <f>J23*(BS!I9+BS!I10+BS!I22)</f>
        <v>84.467566021166562</v>
      </c>
      <c r="K22" s="59">
        <f>K23*(BS!J9+BS!J10+BS!J22)</f>
        <v>84.617131892803528</v>
      </c>
      <c r="L22" s="59">
        <f>L23*(BS!K9+BS!K10+BS!K22)</f>
        <v>93.382305378752292</v>
      </c>
    </row>
    <row r="23" spans="3:12" outlineLevel="1" x14ac:dyDescent="0.25">
      <c r="C23" s="49" t="s">
        <v>111</v>
      </c>
      <c r="D23" s="15" t="s">
        <v>44</v>
      </c>
      <c r="E23" s="68"/>
      <c r="F23" s="68">
        <f>F22/AVERAGE(BS!E9+BS!E10+BS!E22,BS!F9+BS!F10+BS!F22)</f>
        <v>4.2899979193510088E-2</v>
      </c>
      <c r="G23" s="68">
        <f>G22/AVERAGE(BS!F9+BS!F10+BS!F22,BS!G9+BS!G10+BS!G22)</f>
        <v>4.7295927327134411E-2</v>
      </c>
      <c r="H23" s="67">
        <v>4.4999999999999998E-2</v>
      </c>
      <c r="I23" s="67">
        <v>0.04</v>
      </c>
      <c r="J23" s="67">
        <v>3.5000000000000003E-2</v>
      </c>
      <c r="K23" s="67">
        <v>0.03</v>
      </c>
      <c r="L23" s="67">
        <v>0.03</v>
      </c>
    </row>
    <row r="24" spans="3:12" outlineLevel="1" x14ac:dyDescent="0.25">
      <c r="D24" s="15"/>
      <c r="E24" s="18"/>
      <c r="F24" s="18"/>
      <c r="G24" s="18"/>
      <c r="H24" s="59"/>
      <c r="I24" s="59"/>
      <c r="J24" s="59"/>
      <c r="K24" s="59"/>
      <c r="L24" s="59"/>
    </row>
    <row r="25" spans="3:12" outlineLevel="1" x14ac:dyDescent="0.25">
      <c r="C25" s="53" t="s">
        <v>108</v>
      </c>
      <c r="D25" s="15" t="s">
        <v>47</v>
      </c>
      <c r="E25" s="18">
        <v>-12.757</v>
      </c>
      <c r="F25" s="18">
        <v>-14.915899979193426</v>
      </c>
      <c r="G25" s="18">
        <v>-55.882295927327014</v>
      </c>
      <c r="H25" s="59">
        <f>-H26*BS!G53</f>
        <v>-37.395100000000006</v>
      </c>
      <c r="I25" s="59">
        <f>-I26*BS!H53</f>
        <v>-24.65559</v>
      </c>
      <c r="J25" s="59">
        <f>-J26*BS!I53</f>
        <v>-21.916080000000001</v>
      </c>
      <c r="K25" s="59">
        <f>-K26*BS!J53</f>
        <v>-19.176570000000002</v>
      </c>
      <c r="L25" s="59">
        <f>-L26*BS!K53</f>
        <v>-12.176570000000003</v>
      </c>
    </row>
    <row r="26" spans="3:12" outlineLevel="1" x14ac:dyDescent="0.25">
      <c r="C26" s="49" t="s">
        <v>111</v>
      </c>
      <c r="D26" s="15" t="s">
        <v>44</v>
      </c>
      <c r="E26" s="60"/>
      <c r="F26" s="59"/>
      <c r="G26" s="68">
        <f>-G25/AVERAGE(BS!F53,BS!G53)</f>
        <v>0.29887496451314216</v>
      </c>
      <c r="H26" s="67">
        <v>0.1</v>
      </c>
      <c r="I26" s="67">
        <v>0.09</v>
      </c>
      <c r="J26" s="67">
        <v>0.08</v>
      </c>
      <c r="K26" s="67">
        <v>7.0000000000000007E-2</v>
      </c>
      <c r="L26" s="67">
        <v>7.0000000000000007E-2</v>
      </c>
    </row>
    <row r="27" spans="3:12" outlineLevel="1" x14ac:dyDescent="0.25">
      <c r="E27" s="60"/>
      <c r="F27" s="59"/>
      <c r="G27" s="59"/>
      <c r="H27" s="59"/>
      <c r="I27" s="59"/>
      <c r="J27" s="59"/>
      <c r="K27" s="59"/>
      <c r="L27" s="59"/>
    </row>
    <row r="28" spans="3:12" outlineLevel="1" x14ac:dyDescent="0.25">
      <c r="C28" s="19" t="s">
        <v>22</v>
      </c>
      <c r="D28" s="15" t="s">
        <v>47</v>
      </c>
      <c r="E28" s="36">
        <f t="shared" ref="E28:L28" si="4">E19+SUM(E22:E25)</f>
        <v>1571.9639999999999</v>
      </c>
      <c r="F28" s="36">
        <f t="shared" si="4"/>
        <v>2068.482</v>
      </c>
      <c r="G28" s="36">
        <f t="shared" si="4"/>
        <v>1989.4590000000001</v>
      </c>
      <c r="H28" s="36">
        <f t="shared" si="4"/>
        <v>2185.1872712362056</v>
      </c>
      <c r="I28" s="36">
        <f t="shared" si="4"/>
        <v>2487.7143549898665</v>
      </c>
      <c r="J28" s="36">
        <f t="shared" si="4"/>
        <v>2785.7000744743304</v>
      </c>
      <c r="K28" s="36">
        <f t="shared" si="4"/>
        <v>3105.2413249886044</v>
      </c>
      <c r="L28" s="36">
        <f t="shared" si="4"/>
        <v>3448.7448748874149</v>
      </c>
    </row>
    <row r="29" spans="3:12" outlineLevel="1" x14ac:dyDescent="0.25">
      <c r="C29" s="19"/>
      <c r="D29" s="15"/>
      <c r="E29" s="36"/>
      <c r="F29" s="36"/>
      <c r="G29" s="36"/>
      <c r="H29" s="36"/>
      <c r="I29" s="36"/>
      <c r="J29" s="36"/>
      <c r="K29" s="36"/>
      <c r="L29" s="36"/>
    </row>
    <row r="30" spans="3:12" outlineLevel="1" x14ac:dyDescent="0.25">
      <c r="C30" s="49" t="s">
        <v>106</v>
      </c>
      <c r="D30" s="15" t="s">
        <v>47</v>
      </c>
      <c r="E30" s="18">
        <v>380.34</v>
      </c>
      <c r="F30" s="18">
        <v>437.49400000000003</v>
      </c>
      <c r="G30" s="18">
        <v>480.411</v>
      </c>
      <c r="H30" s="59">
        <f>H31*H28</f>
        <v>506.18783561245937</v>
      </c>
      <c r="I30" s="59">
        <f>I31*I28</f>
        <v>576.26673994946975</v>
      </c>
      <c r="J30" s="59">
        <f>J31*J28</f>
        <v>645.29365968982268</v>
      </c>
      <c r="K30" s="59">
        <f>K31*K28</f>
        <v>719.31381169959297</v>
      </c>
      <c r="L30" s="59">
        <f>L31*L28</f>
        <v>798.88471197767728</v>
      </c>
    </row>
    <row r="31" spans="3:12" outlineLevel="1" x14ac:dyDescent="0.25">
      <c r="C31" s="66" t="s">
        <v>112</v>
      </c>
      <c r="D31" s="15" t="s">
        <v>44</v>
      </c>
      <c r="E31" s="68">
        <f>E30/E28</f>
        <v>0.24195210577341464</v>
      </c>
      <c r="F31" s="68">
        <f>F30/F28</f>
        <v>0.21150486201958732</v>
      </c>
      <c r="G31" s="68">
        <f>G30/G28</f>
        <v>0.24147821091060434</v>
      </c>
      <c r="H31" s="68">
        <f>AVERAGE(E31:G31)</f>
        <v>0.23164505956786874</v>
      </c>
      <c r="I31" s="68">
        <f>H31</f>
        <v>0.23164505956786874</v>
      </c>
      <c r="J31" s="68">
        <f>I31</f>
        <v>0.23164505956786874</v>
      </c>
      <c r="K31" s="68">
        <f>J31</f>
        <v>0.23164505956786874</v>
      </c>
      <c r="L31" s="68">
        <f>K31</f>
        <v>0.23164505956786874</v>
      </c>
    </row>
    <row r="32" spans="3:12" outlineLevel="1" x14ac:dyDescent="0.25">
      <c r="C32" s="49"/>
      <c r="D32" s="15"/>
      <c r="E32" s="18"/>
      <c r="F32" s="18"/>
      <c r="G32" s="18"/>
      <c r="H32" s="59"/>
      <c r="I32" s="59"/>
      <c r="J32" s="59"/>
      <c r="K32" s="59"/>
      <c r="L32" s="59"/>
    </row>
    <row r="33" spans="3:12" outlineLevel="1" x14ac:dyDescent="0.25">
      <c r="C33" s="19" t="s">
        <v>7</v>
      </c>
      <c r="D33" s="15" t="s">
        <v>47</v>
      </c>
      <c r="E33" s="40">
        <f t="shared" ref="E33:L33" si="5">E28-E30</f>
        <v>1191.624</v>
      </c>
      <c r="F33" s="40">
        <f t="shared" si="5"/>
        <v>1630.9879999999998</v>
      </c>
      <c r="G33" s="40">
        <f t="shared" si="5"/>
        <v>1509.048</v>
      </c>
      <c r="H33" s="40">
        <f t="shared" si="5"/>
        <v>1678.9994356237462</v>
      </c>
      <c r="I33" s="40">
        <f t="shared" si="5"/>
        <v>1911.4476150403966</v>
      </c>
      <c r="J33" s="40">
        <f t="shared" si="5"/>
        <v>2140.4064147845079</v>
      </c>
      <c r="K33" s="40">
        <f t="shared" si="5"/>
        <v>2385.9275132890116</v>
      </c>
      <c r="L33" s="40">
        <f t="shared" si="5"/>
        <v>2649.8601629097375</v>
      </c>
    </row>
    <row r="34" spans="3:12" x14ac:dyDescent="0.25">
      <c r="C34" s="52"/>
      <c r="E34" s="59"/>
      <c r="F34" s="59"/>
      <c r="G34" s="59"/>
      <c r="H34" s="59"/>
      <c r="I34" s="59"/>
      <c r="J34" s="59"/>
      <c r="K34" s="59"/>
      <c r="L34" s="59"/>
    </row>
  </sheetData>
  <pageMargins left="0.7" right="0.7" top="0.75" bottom="0.75" header="0.3" footer="0.3"/>
  <pageSetup scale="4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C6DB2-C48E-40E1-AE0A-C30DCA78DE08}">
  <sheetPr>
    <pageSetUpPr autoPageBreaks="0"/>
  </sheetPr>
  <dimension ref="B2:L68"/>
  <sheetViews>
    <sheetView showGridLines="0" zoomScaleNormal="100" workbookViewId="0">
      <selection activeCell="B2" sqref="B2"/>
    </sheetView>
  </sheetViews>
  <sheetFormatPr defaultRowHeight="15.75" outlineLevelRow="1" outlineLevelCol="1" x14ac:dyDescent="0.25"/>
  <cols>
    <col min="1" max="2" width="2.7109375" style="53" customWidth="1"/>
    <col min="3" max="3" width="51.7109375" style="53" bestFit="1" customWidth="1"/>
    <col min="4" max="4" width="12.7109375" style="53" customWidth="1"/>
    <col min="5" max="7" width="12.7109375" style="53" customWidth="1" outlineLevel="1"/>
    <col min="8" max="8" width="12.7109375" style="53" bestFit="1" customWidth="1"/>
    <col min="9" max="12" width="11.7109375" style="53" customWidth="1"/>
    <col min="13" max="14" width="2.7109375" style="53" customWidth="1"/>
    <col min="15" max="22" width="11.7109375" style="53" customWidth="1"/>
    <col min="23" max="16384" width="9.140625" style="53"/>
  </cols>
  <sheetData>
    <row r="2" spans="2:12" ht="18.75" x14ac:dyDescent="0.3">
      <c r="B2" s="43" t="str">
        <f>Company_Name&amp;" - Balance Sheet"</f>
        <v>Monster Beverage Corporation - Balance Sheet</v>
      </c>
    </row>
    <row r="3" spans="2:12" x14ac:dyDescent="0.25">
      <c r="B3" s="53" t="str">
        <f>MNST!$B$3</f>
        <v>($ in Millions Except Per Share and Per Unit Data)</v>
      </c>
    </row>
    <row r="5" spans="2:12" x14ac:dyDescent="0.25">
      <c r="B5" s="8"/>
      <c r="C5" s="8"/>
      <c r="D5" s="8"/>
      <c r="E5" s="9" t="str">
        <f>MNST!$E$11</f>
        <v>Historical:</v>
      </c>
      <c r="F5" s="9"/>
      <c r="G5" s="9"/>
      <c r="H5" s="10" t="str">
        <f>MNST!$H$11</f>
        <v>Projected:</v>
      </c>
      <c r="I5" s="9"/>
      <c r="J5" s="9"/>
      <c r="K5" s="9"/>
      <c r="L5" s="9"/>
    </row>
    <row r="6" spans="2:12" x14ac:dyDescent="0.25">
      <c r="B6" s="29" t="s">
        <v>8</v>
      </c>
      <c r="C6" s="29"/>
      <c r="D6" s="30" t="str">
        <f>MNST!$D$12</f>
        <v>Units:</v>
      </c>
      <c r="E6" s="31">
        <f>MNST!$E$12</f>
        <v>44926</v>
      </c>
      <c r="F6" s="31">
        <f>MNST!$F$12</f>
        <v>45291</v>
      </c>
      <c r="G6" s="31">
        <f>MNST!$G$12</f>
        <v>45657</v>
      </c>
      <c r="H6" s="32">
        <f>MNST!$H$12</f>
        <v>46022</v>
      </c>
      <c r="I6" s="31">
        <f>MNST!$I$12</f>
        <v>46387</v>
      </c>
      <c r="J6" s="31">
        <f>MNST!$J$12</f>
        <v>46752</v>
      </c>
      <c r="K6" s="31">
        <f>MNST!$K$12</f>
        <v>47118</v>
      </c>
      <c r="L6" s="31">
        <f>MNST!$L$12</f>
        <v>47483</v>
      </c>
    </row>
    <row r="7" spans="2:12" outlineLevel="1" x14ac:dyDescent="0.25">
      <c r="B7" s="22" t="s">
        <v>23</v>
      </c>
      <c r="C7" s="14"/>
      <c r="D7" s="14"/>
      <c r="E7" s="14"/>
      <c r="F7" s="14"/>
      <c r="G7" s="14"/>
      <c r="H7" s="14"/>
      <c r="I7" s="14"/>
      <c r="J7" s="14"/>
      <c r="K7" s="14"/>
      <c r="L7" s="14"/>
    </row>
    <row r="8" spans="2:12" outlineLevel="1" x14ac:dyDescent="0.25">
      <c r="C8" s="2" t="s">
        <v>24</v>
      </c>
    </row>
    <row r="9" spans="2:12" outlineLevel="1" x14ac:dyDescent="0.25">
      <c r="C9" s="49" t="s">
        <v>9</v>
      </c>
      <c r="D9" s="15" t="s">
        <v>47</v>
      </c>
      <c r="E9" s="16">
        <v>1307.1410000000001</v>
      </c>
      <c r="F9" s="16">
        <v>2297.6750000000002</v>
      </c>
      <c r="G9" s="16">
        <v>1533.287</v>
      </c>
      <c r="H9" s="73">
        <f>CFS!H61</f>
        <v>1773.3119769146883</v>
      </c>
      <c r="I9" s="73">
        <f>CFS!I61</f>
        <v>2013.3590291761871</v>
      </c>
      <c r="J9" s="73">
        <f>CFS!J61</f>
        <v>2220.5710630934509</v>
      </c>
      <c r="K9" s="73">
        <f>CFS!K61</f>
        <v>2312.7435126250766</v>
      </c>
      <c r="L9" s="73">
        <f>CFS!L61</f>
        <v>2442.2472560647639</v>
      </c>
    </row>
    <row r="10" spans="2:12" outlineLevel="1" x14ac:dyDescent="0.25">
      <c r="C10" s="49" t="s">
        <v>59</v>
      </c>
      <c r="D10" s="15" t="s">
        <v>47</v>
      </c>
      <c r="E10" s="18">
        <v>1362.3140000000001</v>
      </c>
      <c r="F10" s="18">
        <v>955.60500000000002</v>
      </c>
      <c r="G10" s="18">
        <v>0</v>
      </c>
      <c r="H10" s="59">
        <f>G10-CFS!H36-CFS!H37</f>
        <v>200</v>
      </c>
      <c r="I10" s="59">
        <f>H10-CFS!I36-CFS!I37</f>
        <v>400</v>
      </c>
      <c r="J10" s="59">
        <f>I10-CFS!J36-CFS!J37</f>
        <v>600</v>
      </c>
      <c r="K10" s="59">
        <f>J10-CFS!K36-CFS!K37</f>
        <v>800</v>
      </c>
      <c r="L10" s="59">
        <f>K10-CFS!L36-CFS!L37</f>
        <v>1000</v>
      </c>
    </row>
    <row r="11" spans="2:12" outlineLevel="1" x14ac:dyDescent="0.25">
      <c r="C11" s="49" t="s">
        <v>46</v>
      </c>
      <c r="D11" s="15" t="s">
        <v>47</v>
      </c>
      <c r="E11" s="18">
        <v>1016.203</v>
      </c>
      <c r="F11" s="18">
        <v>1193.9639999999999</v>
      </c>
      <c r="G11" s="18">
        <v>1221.646</v>
      </c>
      <c r="H11" s="59">
        <f>H12*IS!H$8</f>
        <v>1366.928538954201</v>
      </c>
      <c r="I11" s="59">
        <f>I12*IS!I$8</f>
        <v>1544.5644300332979</v>
      </c>
      <c r="J11" s="59">
        <f>J12*IS!J$8</f>
        <v>1735.1831340585727</v>
      </c>
      <c r="K11" s="59">
        <f>K12*IS!K$8</f>
        <v>1936.9588480972432</v>
      </c>
      <c r="L11" s="59">
        <f>L12*IS!L$8</f>
        <v>2162.6253347181355</v>
      </c>
    </row>
    <row r="12" spans="2:12" outlineLevel="1" x14ac:dyDescent="0.25">
      <c r="C12" s="66" t="s">
        <v>110</v>
      </c>
      <c r="D12" s="15" t="s">
        <v>44</v>
      </c>
      <c r="E12" s="68">
        <f>E11/IS!E$8</f>
        <v>0.16101964015496628</v>
      </c>
      <c r="F12" s="68">
        <f>F11/IS!F$8</f>
        <v>0.16722121639035817</v>
      </c>
      <c r="G12" s="68">
        <f>G11/IS!G$8</f>
        <v>0.16304463445731043</v>
      </c>
      <c r="H12" s="68">
        <f>AVERAGE(E12:G12)</f>
        <v>0.16376183033421163</v>
      </c>
      <c r="I12" s="68">
        <f>H12</f>
        <v>0.16376183033421163</v>
      </c>
      <c r="J12" s="68">
        <f>I12</f>
        <v>0.16376183033421163</v>
      </c>
      <c r="K12" s="68">
        <f>J12</f>
        <v>0.16376183033421163</v>
      </c>
      <c r="L12" s="68">
        <f>K12</f>
        <v>0.16376183033421163</v>
      </c>
    </row>
    <row r="13" spans="2:12" outlineLevel="1" x14ac:dyDescent="0.25">
      <c r="C13" s="49" t="s">
        <v>10</v>
      </c>
      <c r="D13" s="15" t="s">
        <v>47</v>
      </c>
      <c r="E13" s="18">
        <v>935.63099999999997</v>
      </c>
      <c r="F13" s="18">
        <v>971.40599999999995</v>
      </c>
      <c r="G13" s="18">
        <v>737.10699999999997</v>
      </c>
      <c r="H13" s="59">
        <f>H14*IS!H$11</f>
        <v>801.06659540693272</v>
      </c>
      <c r="I13" s="59">
        <f>I14*IS!I$11</f>
        <v>888.33155165520202</v>
      </c>
      <c r="J13" s="59">
        <f>J14*IS!J$11</f>
        <v>979.17654838962551</v>
      </c>
      <c r="K13" s="59">
        <f>K14*IS!K$11</f>
        <v>1064.5111621736266</v>
      </c>
      <c r="L13" s="59">
        <f>L14*IS!L$11</f>
        <v>1188.5326374736455</v>
      </c>
    </row>
    <row r="14" spans="2:12" outlineLevel="1" x14ac:dyDescent="0.25">
      <c r="C14" s="66" t="s">
        <v>114</v>
      </c>
      <c r="D14" s="15" t="s">
        <v>44</v>
      </c>
      <c r="E14" s="68">
        <f>E13/IS!E$11</f>
        <v>0.29830577752214821</v>
      </c>
      <c r="F14" s="68">
        <f>F13/IS!F$11</f>
        <v>0.29033412128144331</v>
      </c>
      <c r="G14" s="68">
        <f>G13/IS!G$11</f>
        <v>0.21403692573764507</v>
      </c>
      <c r="H14" s="67">
        <v>0.21</v>
      </c>
      <c r="I14" s="67">
        <v>0.20699999999999999</v>
      </c>
      <c r="J14" s="67">
        <v>0.20399999999999999</v>
      </c>
      <c r="K14" s="67">
        <v>0.2</v>
      </c>
      <c r="L14" s="67">
        <v>0.2</v>
      </c>
    </row>
    <row r="15" spans="2:12" outlineLevel="1" x14ac:dyDescent="0.25">
      <c r="C15" s="49" t="s">
        <v>49</v>
      </c>
      <c r="D15" s="15" t="s">
        <v>47</v>
      </c>
      <c r="E15" s="18">
        <v>109.82299999999999</v>
      </c>
      <c r="F15" s="18">
        <v>116.19499999999999</v>
      </c>
      <c r="G15" s="18">
        <v>107.262</v>
      </c>
      <c r="H15" s="59">
        <f>H16*IS!H$16</f>
        <v>114.18767349345461</v>
      </c>
      <c r="I15" s="59">
        <f>I16*IS!I$16</f>
        <v>121.81134989251933</v>
      </c>
      <c r="J15" s="59">
        <f>J16*IS!J$16</f>
        <v>132.12928578992589</v>
      </c>
      <c r="K15" s="59">
        <f>K16*IS!K$16</f>
        <v>142.08858434657529</v>
      </c>
      <c r="L15" s="59">
        <f>L16*IS!L$16</f>
        <v>155.82983469098906</v>
      </c>
    </row>
    <row r="16" spans="2:12" outlineLevel="1" x14ac:dyDescent="0.25">
      <c r="C16" s="66" t="s">
        <v>115</v>
      </c>
      <c r="D16" s="15" t="s">
        <v>44</v>
      </c>
      <c r="E16" s="68">
        <f>E15/IS!E$16</f>
        <v>6.9077759732703664E-2</v>
      </c>
      <c r="F16" s="68">
        <f>F15/IS!F$16</f>
        <v>6.3120263399916665E-2</v>
      </c>
      <c r="G16" s="68">
        <f>G15/IS!G$16</f>
        <v>5.0629099436227218E-2</v>
      </c>
      <c r="H16" s="67">
        <v>4.8000000000000001E-2</v>
      </c>
      <c r="I16" s="67">
        <v>4.4999999999999998E-2</v>
      </c>
      <c r="J16" s="67">
        <v>4.2999999999999997E-2</v>
      </c>
      <c r="K16" s="67">
        <v>4.1000000000000002E-2</v>
      </c>
      <c r="L16" s="67">
        <v>0.04</v>
      </c>
    </row>
    <row r="17" spans="2:12" outlineLevel="1" x14ac:dyDescent="0.25">
      <c r="C17" s="49" t="s">
        <v>64</v>
      </c>
      <c r="D17" s="15" t="s">
        <v>47</v>
      </c>
      <c r="E17" s="18">
        <v>33.784999999999997</v>
      </c>
      <c r="F17" s="18">
        <v>54.151000000000003</v>
      </c>
      <c r="G17" s="18">
        <v>42.201999999999998</v>
      </c>
      <c r="H17" s="59">
        <f>H18*IS!H$16</f>
        <v>55.973117193452808</v>
      </c>
      <c r="I17" s="59">
        <f>I18*IS!I$16</f>
        <v>63.690806588202626</v>
      </c>
      <c r="J17" s="59">
        <f>J18*IS!J$16</f>
        <v>72.298974717281368</v>
      </c>
      <c r="K17" s="59">
        <f>K18*IS!K$16</f>
        <v>81.541150960219568</v>
      </c>
      <c r="L17" s="59">
        <f>L18*IS!L$16</f>
        <v>91.662590182066367</v>
      </c>
    </row>
    <row r="18" spans="2:12" outlineLevel="1" x14ac:dyDescent="0.25">
      <c r="C18" s="70" t="s">
        <v>115</v>
      </c>
      <c r="D18" s="33" t="s">
        <v>44</v>
      </c>
      <c r="E18" s="71">
        <f>E17/IS!E$16</f>
        <v>2.1250485896118238E-2</v>
      </c>
      <c r="F18" s="71">
        <f>F17/IS!F$16</f>
        <v>2.9416286271947052E-2</v>
      </c>
      <c r="G18" s="71">
        <f>G17/IS!G$16</f>
        <v>1.9919908769253425E-2</v>
      </c>
      <c r="H18" s="71">
        <f>AVERAGE(E18:G18)</f>
        <v>2.3528893645772903E-2</v>
      </c>
      <c r="I18" s="71">
        <f>H18</f>
        <v>2.3528893645772903E-2</v>
      </c>
      <c r="J18" s="71">
        <f>I18</f>
        <v>2.3528893645772903E-2</v>
      </c>
      <c r="K18" s="71">
        <f>J18</f>
        <v>2.3528893645772903E-2</v>
      </c>
      <c r="L18" s="71">
        <f>K18</f>
        <v>2.3528893645772903E-2</v>
      </c>
    </row>
    <row r="19" spans="2:12" outlineLevel="1" x14ac:dyDescent="0.25">
      <c r="C19" s="19" t="s">
        <v>11</v>
      </c>
      <c r="D19" s="15" t="s">
        <v>47</v>
      </c>
      <c r="E19" s="36">
        <f t="shared" ref="E19:L19" si="0">E9+E10+E11+E13+E15+E17</f>
        <v>4764.8969999999999</v>
      </c>
      <c r="F19" s="36">
        <f t="shared" si="0"/>
        <v>5588.9960000000001</v>
      </c>
      <c r="G19" s="36">
        <f t="shared" si="0"/>
        <v>3641.5039999999999</v>
      </c>
      <c r="H19" s="36">
        <f t="shared" si="0"/>
        <v>4311.4679019627301</v>
      </c>
      <c r="I19" s="36">
        <f t="shared" si="0"/>
        <v>5031.7571673454086</v>
      </c>
      <c r="J19" s="36">
        <f t="shared" si="0"/>
        <v>5739.3590060488568</v>
      </c>
      <c r="K19" s="36">
        <f t="shared" si="0"/>
        <v>6337.8432582027417</v>
      </c>
      <c r="L19" s="36">
        <f t="shared" si="0"/>
        <v>7040.8976531295993</v>
      </c>
    </row>
    <row r="20" spans="2:12" outlineLevel="1" x14ac:dyDescent="0.25">
      <c r="E20" s="59"/>
      <c r="F20" s="59"/>
      <c r="G20" s="59"/>
      <c r="H20" s="59"/>
      <c r="I20" s="59"/>
      <c r="J20" s="59"/>
      <c r="K20" s="59"/>
      <c r="L20" s="59"/>
    </row>
    <row r="21" spans="2:12" outlineLevel="1" x14ac:dyDescent="0.25">
      <c r="C21" s="19" t="s">
        <v>25</v>
      </c>
      <c r="E21" s="59"/>
      <c r="F21" s="59"/>
      <c r="G21" s="59"/>
      <c r="H21" s="59"/>
      <c r="I21" s="59"/>
      <c r="J21" s="59"/>
      <c r="K21" s="59"/>
      <c r="L21" s="59"/>
    </row>
    <row r="22" spans="2:12" outlineLevel="1" x14ac:dyDescent="0.25">
      <c r="C22" s="49" t="s">
        <v>65</v>
      </c>
      <c r="D22" s="15" t="s">
        <v>47</v>
      </c>
      <c r="E22" s="18">
        <v>61.442999999999998</v>
      </c>
      <c r="F22" s="18">
        <v>76.430999999999997</v>
      </c>
      <c r="G22" s="18">
        <v>0</v>
      </c>
      <c r="H22" s="59">
        <f>G22</f>
        <v>0</v>
      </c>
      <c r="I22" s="59">
        <f>H22</f>
        <v>0</v>
      </c>
      <c r="J22" s="59">
        <f>I22</f>
        <v>0</v>
      </c>
      <c r="K22" s="59">
        <f>J22</f>
        <v>0</v>
      </c>
      <c r="L22" s="59">
        <f>K22</f>
        <v>0</v>
      </c>
    </row>
    <row r="23" spans="2:12" outlineLevel="1" x14ac:dyDescent="0.25">
      <c r="C23" s="49" t="s">
        <v>48</v>
      </c>
      <c r="D23" s="15" t="s">
        <v>47</v>
      </c>
      <c r="E23" s="18">
        <v>516.89700000000005</v>
      </c>
      <c r="F23" s="18">
        <v>890.79600000000005</v>
      </c>
      <c r="G23" s="18">
        <v>1047.0239999999999</v>
      </c>
      <c r="H23" s="59">
        <f>G23-CFS!H10-CFS!H13-CFS!H16-CFS!H40-CFS!H38-CFS!H39-CFS!H42-CFS!H14</f>
        <v>1263.8017133368612</v>
      </c>
      <c r="I23" s="59">
        <f>H23-CFS!I10-CFS!I13-CFS!I16-CFS!I40-CFS!I38-CFS!I39-CFS!I42-CFS!I14</f>
        <v>1518.1820230535793</v>
      </c>
      <c r="J23" s="59">
        <f>I23-CFS!J10-CFS!J13-CFS!J16-CFS!J40-CFS!J38-CFS!J39-CFS!J42-CFS!J14</f>
        <v>1814.5518395562674</v>
      </c>
      <c r="K23" s="59">
        <f>J23-CFS!K10-CFS!K13-CFS!K16-CFS!K40-CFS!K38-CFS!K39-CFS!K42-CFS!K14</f>
        <v>2157.2129122876117</v>
      </c>
      <c r="L23" s="59">
        <f>K23-CFS!L10-CFS!L13-CFS!L16-CFS!L40-CFS!L38-CFS!L39-CFS!L42-CFS!L14</f>
        <v>2553.0018253855842</v>
      </c>
    </row>
    <row r="24" spans="2:12" outlineLevel="1" x14ac:dyDescent="0.25">
      <c r="C24" s="49" t="s">
        <v>60</v>
      </c>
      <c r="D24" s="15" t="s">
        <v>47</v>
      </c>
      <c r="E24" s="18">
        <v>177.03899999999999</v>
      </c>
      <c r="F24" s="18">
        <v>175.00299999999999</v>
      </c>
      <c r="G24" s="18">
        <v>184.26</v>
      </c>
      <c r="H24" s="59">
        <f>G24-CFS!H19</f>
        <v>166.20938279852899</v>
      </c>
      <c r="I24" s="59">
        <f>H24-CFS!I19</f>
        <v>145.65975754690339</v>
      </c>
      <c r="J24" s="59">
        <f>I24-CFS!J19</f>
        <v>122.64863793059752</v>
      </c>
      <c r="K24" s="59">
        <f>J24-CFS!K19</f>
        <v>96.997965691486229</v>
      </c>
      <c r="L24" s="59">
        <f>K24-CFS!L19</f>
        <v>68.509801596099351</v>
      </c>
    </row>
    <row r="25" spans="2:12" outlineLevel="1" x14ac:dyDescent="0.25">
      <c r="C25" s="49" t="s">
        <v>66</v>
      </c>
      <c r="D25" s="15" t="s">
        <v>47</v>
      </c>
      <c r="E25" s="18">
        <v>1417.941</v>
      </c>
      <c r="F25" s="18">
        <v>1417.941</v>
      </c>
      <c r="G25" s="18">
        <v>1331.643</v>
      </c>
      <c r="H25" s="59">
        <f>G25</f>
        <v>1331.643</v>
      </c>
      <c r="I25" s="59">
        <f>H25</f>
        <v>1331.643</v>
      </c>
      <c r="J25" s="59">
        <f>I25</f>
        <v>1331.643</v>
      </c>
      <c r="K25" s="59">
        <f>J25</f>
        <v>1331.643</v>
      </c>
      <c r="L25" s="59">
        <f>K25</f>
        <v>1331.643</v>
      </c>
    </row>
    <row r="26" spans="2:12" outlineLevel="1" x14ac:dyDescent="0.25">
      <c r="C26" s="49" t="s">
        <v>67</v>
      </c>
      <c r="D26" s="15" t="s">
        <v>47</v>
      </c>
      <c r="E26" s="18">
        <v>1220.4100000000001</v>
      </c>
      <c r="F26" s="18">
        <v>1427.1389999999999</v>
      </c>
      <c r="G26" s="18">
        <v>1414.252</v>
      </c>
      <c r="H26" s="59">
        <f>G26-CFS!H15-CFS!H43</f>
        <v>1445.4914948101728</v>
      </c>
      <c r="I26" s="59">
        <f>H26-CFS!I15-CFS!I43</f>
        <v>1480.7906425863387</v>
      </c>
      <c r="J26" s="59">
        <f>I26-CFS!J15-CFS!J43</f>
        <v>1520.4461497810264</v>
      </c>
      <c r="K26" s="59">
        <f>J26-CFS!K15-CFS!K43</f>
        <v>1564.7129963339169</v>
      </c>
      <c r="L26" s="59">
        <f>K26-CFS!L15-CFS!L43</f>
        <v>1614.1371768927363</v>
      </c>
    </row>
    <row r="27" spans="2:12" outlineLevel="1" x14ac:dyDescent="0.25">
      <c r="C27" s="50" t="s">
        <v>12</v>
      </c>
      <c r="D27" s="33" t="s">
        <v>47</v>
      </c>
      <c r="E27" s="21">
        <v>134.47800000000001</v>
      </c>
      <c r="F27" s="21">
        <v>110.21599999999999</v>
      </c>
      <c r="G27" s="21">
        <v>100.40600000000001</v>
      </c>
      <c r="H27" s="63">
        <f>G27-CFS!H45-CFS!H12</f>
        <v>111.88500000000001</v>
      </c>
      <c r="I27" s="63">
        <f>H27-CFS!I45-CFS!I12</f>
        <v>123.36399999999999</v>
      </c>
      <c r="J27" s="63">
        <f>I27-CFS!J45-CFS!J12</f>
        <v>134.84299999999996</v>
      </c>
      <c r="K27" s="63">
        <f>J27-CFS!K45-CFS!K12</f>
        <v>146.32199999999995</v>
      </c>
      <c r="L27" s="63">
        <f>K27-CFS!L45-CFS!L12</f>
        <v>157.80099999999993</v>
      </c>
    </row>
    <row r="28" spans="2:12" outlineLevel="1" x14ac:dyDescent="0.25">
      <c r="C28" s="19" t="s">
        <v>26</v>
      </c>
      <c r="D28" s="15" t="s">
        <v>47</v>
      </c>
      <c r="E28" s="36">
        <f t="shared" ref="E28:L28" si="1">SUM(E22:E27)</f>
        <v>3528.2080000000005</v>
      </c>
      <c r="F28" s="36">
        <f t="shared" si="1"/>
        <v>4097.5260000000007</v>
      </c>
      <c r="G28" s="36">
        <f t="shared" si="1"/>
        <v>4077.5849999999996</v>
      </c>
      <c r="H28" s="36">
        <f t="shared" si="1"/>
        <v>4319.0305909455637</v>
      </c>
      <c r="I28" s="36">
        <f t="shared" si="1"/>
        <v>4599.6394231868207</v>
      </c>
      <c r="J28" s="36">
        <f t="shared" si="1"/>
        <v>4924.1326272678907</v>
      </c>
      <c r="K28" s="36">
        <f t="shared" si="1"/>
        <v>5296.8888743130146</v>
      </c>
      <c r="L28" s="36">
        <f t="shared" si="1"/>
        <v>5725.0928038744205</v>
      </c>
    </row>
    <row r="29" spans="2:12" outlineLevel="1" x14ac:dyDescent="0.25">
      <c r="C29" s="19"/>
      <c r="E29" s="20"/>
      <c r="F29" s="20"/>
      <c r="G29" s="20"/>
      <c r="H29" s="20"/>
      <c r="I29" s="59"/>
      <c r="J29" s="59"/>
      <c r="K29" s="59"/>
      <c r="L29" s="59"/>
    </row>
    <row r="30" spans="2:12" outlineLevel="1" x14ac:dyDescent="0.25">
      <c r="C30" s="19" t="s">
        <v>13</v>
      </c>
      <c r="D30" s="15" t="s">
        <v>47</v>
      </c>
      <c r="E30" s="40">
        <f t="shared" ref="E30:L30" si="2">E19+E28</f>
        <v>8293.1049999999996</v>
      </c>
      <c r="F30" s="40">
        <f t="shared" si="2"/>
        <v>9686.5220000000008</v>
      </c>
      <c r="G30" s="40">
        <f t="shared" si="2"/>
        <v>7719.0889999999999</v>
      </c>
      <c r="H30" s="40">
        <f t="shared" si="2"/>
        <v>8630.498492908293</v>
      </c>
      <c r="I30" s="40">
        <f t="shared" si="2"/>
        <v>9631.3965905322293</v>
      </c>
      <c r="J30" s="40">
        <f t="shared" si="2"/>
        <v>10663.491633316748</v>
      </c>
      <c r="K30" s="40">
        <f t="shared" si="2"/>
        <v>11634.732132515757</v>
      </c>
      <c r="L30" s="40">
        <f t="shared" si="2"/>
        <v>12765.99045700402</v>
      </c>
    </row>
    <row r="31" spans="2:12" x14ac:dyDescent="0.25">
      <c r="C31" s="19"/>
      <c r="E31" s="20"/>
      <c r="F31" s="20"/>
      <c r="G31" s="20"/>
      <c r="H31" s="59"/>
      <c r="I31" s="59"/>
      <c r="J31" s="59"/>
      <c r="K31" s="59"/>
      <c r="L31" s="59"/>
    </row>
    <row r="32" spans="2:12" x14ac:dyDescent="0.25">
      <c r="B32" s="14" t="s">
        <v>27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</row>
    <row r="33" spans="3:12" outlineLevel="1" x14ac:dyDescent="0.25">
      <c r="C33" s="2" t="s">
        <v>28</v>
      </c>
      <c r="D33" s="2"/>
      <c r="E33" s="59"/>
      <c r="F33" s="59"/>
      <c r="G33" s="59"/>
      <c r="H33" s="59"/>
      <c r="I33" s="59"/>
      <c r="J33" s="59"/>
      <c r="K33" s="59"/>
      <c r="L33" s="59"/>
    </row>
    <row r="34" spans="3:12" outlineLevel="1" x14ac:dyDescent="0.25">
      <c r="C34" s="49" t="s">
        <v>14</v>
      </c>
      <c r="D34" s="15" t="s">
        <v>47</v>
      </c>
      <c r="E34" s="16">
        <v>444.26499999999999</v>
      </c>
      <c r="F34" s="16">
        <v>564.37900000000002</v>
      </c>
      <c r="G34" s="16">
        <v>466.77499999999998</v>
      </c>
      <c r="H34" s="62">
        <f>H35*IS!H$11</f>
        <v>566.93332869639119</v>
      </c>
      <c r="I34" s="62">
        <f>I35*IS!I$11</f>
        <v>637.80424263386953</v>
      </c>
      <c r="J34" s="62">
        <f>J35*IS!J$11</f>
        <v>713.36779246428671</v>
      </c>
      <c r="K34" s="62">
        <f>K35*IS!K$11</f>
        <v>791.04808897184455</v>
      </c>
      <c r="L34" s="62">
        <f>L35*IS!L$11</f>
        <v>883.2095941900933</v>
      </c>
    </row>
    <row r="35" spans="3:12" outlineLevel="1" x14ac:dyDescent="0.25">
      <c r="C35" s="66" t="s">
        <v>114</v>
      </c>
      <c r="D35" s="15" t="s">
        <v>44</v>
      </c>
      <c r="E35" s="68">
        <f>E34/IS!E$11</f>
        <v>0.14164431944952355</v>
      </c>
      <c r="F35" s="68">
        <f>F34/IS!F$11</f>
        <v>0.16868176749443561</v>
      </c>
      <c r="G35" s="68">
        <f>G34/IS!G$11</f>
        <v>0.13553946172155368</v>
      </c>
      <c r="H35" s="68">
        <f>AVERAGE(E35:G35)</f>
        <v>0.14862184955517094</v>
      </c>
      <c r="I35" s="68">
        <f>H35</f>
        <v>0.14862184955517094</v>
      </c>
      <c r="J35" s="68">
        <f>I35</f>
        <v>0.14862184955517094</v>
      </c>
      <c r="K35" s="68">
        <f>J35</f>
        <v>0.14862184955517094</v>
      </c>
      <c r="L35" s="68">
        <f>K35</f>
        <v>0.14862184955517094</v>
      </c>
    </row>
    <row r="36" spans="3:12" outlineLevel="1" x14ac:dyDescent="0.25">
      <c r="C36" s="49" t="s">
        <v>52</v>
      </c>
      <c r="D36" s="15" t="s">
        <v>47</v>
      </c>
      <c r="E36" s="18">
        <v>172.99100000000001</v>
      </c>
      <c r="F36" s="18">
        <v>183.988</v>
      </c>
      <c r="G36" s="18">
        <v>220.76400000000001</v>
      </c>
      <c r="H36" s="41">
        <f>H37*IS!H$16</f>
        <v>248.16845190408955</v>
      </c>
      <c r="I36" s="41">
        <f>I37*IS!I$16</f>
        <v>282.3864323455237</v>
      </c>
      <c r="J36" s="41">
        <f>J37*IS!J$16</f>
        <v>320.5525353863863</v>
      </c>
      <c r="K36" s="41">
        <f>K37*IS!K$16</f>
        <v>361.52964521051115</v>
      </c>
      <c r="L36" s="41">
        <f>L37*IS!L$16</f>
        <v>406.40515025064957</v>
      </c>
    </row>
    <row r="37" spans="3:12" outlineLevel="1" x14ac:dyDescent="0.25">
      <c r="C37" s="66" t="s">
        <v>115</v>
      </c>
      <c r="D37" s="15" t="s">
        <v>44</v>
      </c>
      <c r="E37" s="68">
        <f>E36/IS!E$16</f>
        <v>0.1088099098906435</v>
      </c>
      <c r="F37" s="68">
        <f>F36/IS!F$16</f>
        <v>9.9947252656515925E-2</v>
      </c>
      <c r="G37" s="68">
        <f>G36/IS!G$16</f>
        <v>0.10420356237940059</v>
      </c>
      <c r="H37" s="68">
        <f>AVERAGE(E37:G37)</f>
        <v>0.10432024164218667</v>
      </c>
      <c r="I37" s="68">
        <f>H37</f>
        <v>0.10432024164218667</v>
      </c>
      <c r="J37" s="68">
        <f>I37</f>
        <v>0.10432024164218667</v>
      </c>
      <c r="K37" s="68">
        <f>J37</f>
        <v>0.10432024164218667</v>
      </c>
      <c r="L37" s="68">
        <f>K37</f>
        <v>0.10432024164218667</v>
      </c>
    </row>
    <row r="38" spans="3:12" outlineLevel="1" x14ac:dyDescent="0.25">
      <c r="C38" s="49" t="s">
        <v>68</v>
      </c>
      <c r="D38" s="15" t="s">
        <v>47</v>
      </c>
      <c r="E38" s="18">
        <v>255.631</v>
      </c>
      <c r="F38" s="18">
        <v>269.06099999999998</v>
      </c>
      <c r="G38" s="18">
        <v>267.71100000000001</v>
      </c>
      <c r="H38" s="41">
        <f>H39*IS!H$16</f>
        <v>297.36373305587136</v>
      </c>
      <c r="I38" s="41">
        <f>I39*IS!I$16</f>
        <v>324.83026638005157</v>
      </c>
      <c r="J38" s="41">
        <f>J39*IS!J$16</f>
        <v>353.3690201358483</v>
      </c>
      <c r="K38" s="41">
        <f>K39*IS!K$16</f>
        <v>381.21327507617764</v>
      </c>
      <c r="L38" s="41">
        <f>L39*IS!L$16</f>
        <v>409.0533160638463</v>
      </c>
    </row>
    <row r="39" spans="3:12" outlineLevel="1" x14ac:dyDescent="0.25">
      <c r="C39" s="66" t="s">
        <v>115</v>
      </c>
      <c r="D39" s="15" t="s">
        <v>44</v>
      </c>
      <c r="E39" s="68">
        <f>E38/IS!E$16</f>
        <v>0.1607897871869351</v>
      </c>
      <c r="F39" s="68">
        <f>F38/IS!F$16</f>
        <v>0.1461612047906104</v>
      </c>
      <c r="G39" s="68">
        <f>G38/IS!G$16</f>
        <v>0.12636317464872765</v>
      </c>
      <c r="H39" s="67">
        <v>0.125</v>
      </c>
      <c r="I39" s="67">
        <v>0.12</v>
      </c>
      <c r="J39" s="67">
        <v>0.115</v>
      </c>
      <c r="K39" s="67">
        <v>0.11</v>
      </c>
      <c r="L39" s="67">
        <v>0.105</v>
      </c>
    </row>
    <row r="40" spans="3:12" outlineLevel="1" x14ac:dyDescent="0.25">
      <c r="C40" s="49" t="s">
        <v>53</v>
      </c>
      <c r="D40" s="15" t="s">
        <v>47</v>
      </c>
      <c r="E40" s="18">
        <v>43.311</v>
      </c>
      <c r="F40" s="18">
        <v>41.914000000000001</v>
      </c>
      <c r="G40" s="18">
        <v>45.808999999999997</v>
      </c>
      <c r="H40" s="41">
        <f>H41*IS!H$8</f>
        <v>52.438465767502265</v>
      </c>
      <c r="I40" s="41">
        <f>I41*IS!I$8</f>
        <v>59.25297971463047</v>
      </c>
      <c r="J40" s="41">
        <f>J41*IS!J$8</f>
        <v>66.565543686206112</v>
      </c>
      <c r="K40" s="41">
        <f>K41*IS!K$8</f>
        <v>74.306115758412048</v>
      </c>
      <c r="L40" s="41">
        <f>L41*IS!L$8</f>
        <v>82.96319182077572</v>
      </c>
    </row>
    <row r="41" spans="3:12" outlineLevel="1" x14ac:dyDescent="0.25">
      <c r="C41" s="66" t="s">
        <v>110</v>
      </c>
      <c r="D41" s="15" t="s">
        <v>44</v>
      </c>
      <c r="E41" s="68">
        <f>E40/IS!E$8</f>
        <v>6.8627249031460689E-3</v>
      </c>
      <c r="F41" s="68">
        <f>F40/IS!F$8</f>
        <v>5.8702859246890808E-3</v>
      </c>
      <c r="G41" s="68">
        <f>G40/IS!G$8</f>
        <v>6.1138101052636631E-3</v>
      </c>
      <c r="H41" s="68">
        <f>AVERAGE(E41:G41)</f>
        <v>6.282273644366271E-3</v>
      </c>
      <c r="I41" s="68">
        <f>H41</f>
        <v>6.282273644366271E-3</v>
      </c>
      <c r="J41" s="68">
        <f>I41</f>
        <v>6.282273644366271E-3</v>
      </c>
      <c r="K41" s="68">
        <f>J41</f>
        <v>6.282273644366271E-3</v>
      </c>
      <c r="L41" s="68">
        <f>K41</f>
        <v>6.282273644366271E-3</v>
      </c>
    </row>
    <row r="42" spans="3:12" outlineLevel="1" x14ac:dyDescent="0.25">
      <c r="C42" s="49" t="s">
        <v>69</v>
      </c>
      <c r="D42" s="15" t="s">
        <v>47</v>
      </c>
      <c r="E42" s="18">
        <v>72.462999999999994</v>
      </c>
      <c r="F42" s="18">
        <v>87.391999999999996</v>
      </c>
      <c r="G42" s="18">
        <v>92.453999999999994</v>
      </c>
      <c r="H42" s="41">
        <f>H43*IS!H$16</f>
        <v>108.39252950585157</v>
      </c>
      <c r="I42" s="41">
        <f>I43*IS!I$16</f>
        <v>123.33791610181675</v>
      </c>
      <c r="J42" s="41">
        <f>J43*IS!J$16</f>
        <v>140.00772412229338</v>
      </c>
      <c r="K42" s="41">
        <f>K43*IS!K$16</f>
        <v>157.90529551622924</v>
      </c>
      <c r="L42" s="41">
        <f>L43*IS!L$16</f>
        <v>177.5055689064709</v>
      </c>
    </row>
    <row r="43" spans="3:12" outlineLevel="1" x14ac:dyDescent="0.25">
      <c r="C43" s="66" t="s">
        <v>115</v>
      </c>
      <c r="D43" s="15" t="s">
        <v>44</v>
      </c>
      <c r="E43" s="68">
        <f>E42/IS!E$16</f>
        <v>4.5578628370294978E-2</v>
      </c>
      <c r="F43" s="68">
        <f>F42/IS!F$16</f>
        <v>4.7473695589702804E-2</v>
      </c>
      <c r="G43" s="68">
        <f>G42/IS!G$16</f>
        <v>4.3639525267820396E-2</v>
      </c>
      <c r="H43" s="68">
        <f>AVERAGE(E43:G43)</f>
        <v>4.5563949742606059E-2</v>
      </c>
      <c r="I43" s="68">
        <f>H43</f>
        <v>4.5563949742606059E-2</v>
      </c>
      <c r="J43" s="68">
        <f>I43</f>
        <v>4.5563949742606059E-2</v>
      </c>
      <c r="K43" s="68">
        <f>J43</f>
        <v>4.5563949742606059E-2</v>
      </c>
      <c r="L43" s="68">
        <f>K43</f>
        <v>4.5563949742606059E-2</v>
      </c>
    </row>
    <row r="44" spans="3:12" outlineLevel="1" x14ac:dyDescent="0.25">
      <c r="C44" s="49" t="s">
        <v>70</v>
      </c>
      <c r="D44" s="15" t="s">
        <v>47</v>
      </c>
      <c r="E44" s="18">
        <v>13.317</v>
      </c>
      <c r="F44" s="18">
        <v>14.955</v>
      </c>
      <c r="G44" s="18">
        <v>4.0060000000000002</v>
      </c>
      <c r="H44" s="59">
        <f>H45*IS!H$30</f>
        <v>13.082496882369496</v>
      </c>
      <c r="I44" s="59">
        <f>I45*IS!I$30</f>
        <v>14.893696170474716</v>
      </c>
      <c r="J44" s="59">
        <f>J45*IS!J$30</f>
        <v>16.677706766482228</v>
      </c>
      <c r="K44" s="59">
        <f>K45*IS!K$30</f>
        <v>18.590768163401542</v>
      </c>
      <c r="L44" s="59">
        <f>L45*IS!L$30</f>
        <v>20.647289441823485</v>
      </c>
    </row>
    <row r="45" spans="3:12" outlineLevel="1" x14ac:dyDescent="0.25">
      <c r="C45" s="66" t="s">
        <v>116</v>
      </c>
      <c r="D45" s="33" t="s">
        <v>44</v>
      </c>
      <c r="E45" s="68">
        <f>E44/IS!E$30</f>
        <v>3.5013409055056004E-2</v>
      </c>
      <c r="F45" s="68">
        <f>F44/IS!F$30</f>
        <v>3.4183325942755784E-2</v>
      </c>
      <c r="G45" s="68">
        <f>G44/IS!G$30</f>
        <v>8.3386933271719435E-3</v>
      </c>
      <c r="H45" s="68">
        <f>AVERAGE(E45:G45)</f>
        <v>2.5845142774994573E-2</v>
      </c>
      <c r="I45" s="68">
        <f>H45</f>
        <v>2.5845142774994573E-2</v>
      </c>
      <c r="J45" s="68">
        <f>I45</f>
        <v>2.5845142774994573E-2</v>
      </c>
      <c r="K45" s="68">
        <f>J45</f>
        <v>2.5845142774994573E-2</v>
      </c>
      <c r="L45" s="68">
        <f>K45</f>
        <v>2.5845142774994573E-2</v>
      </c>
    </row>
    <row r="46" spans="3:12" outlineLevel="1" x14ac:dyDescent="0.25">
      <c r="C46" s="25" t="s">
        <v>15</v>
      </c>
      <c r="D46" s="15" t="s">
        <v>47</v>
      </c>
      <c r="E46" s="38">
        <f t="shared" ref="E46:L46" si="3">E34+E36+E38+E40+E42+E44</f>
        <v>1001.978</v>
      </c>
      <c r="F46" s="38">
        <f t="shared" si="3"/>
        <v>1161.6889999999999</v>
      </c>
      <c r="G46" s="38">
        <f t="shared" si="3"/>
        <v>1097.519</v>
      </c>
      <c r="H46" s="38">
        <f t="shared" si="3"/>
        <v>1286.3790058120755</v>
      </c>
      <c r="I46" s="38">
        <f t="shared" si="3"/>
        <v>1442.5055333463667</v>
      </c>
      <c r="J46" s="38">
        <f t="shared" si="3"/>
        <v>1610.5403225615032</v>
      </c>
      <c r="K46" s="38">
        <f t="shared" si="3"/>
        <v>1784.5931886965761</v>
      </c>
      <c r="L46" s="38">
        <f t="shared" si="3"/>
        <v>1979.7841106736594</v>
      </c>
    </row>
    <row r="47" spans="3:12" outlineLevel="1" x14ac:dyDescent="0.25">
      <c r="E47" s="59"/>
      <c r="F47" s="59"/>
      <c r="G47" s="59"/>
      <c r="H47" s="59"/>
      <c r="I47" s="59"/>
      <c r="J47" s="59"/>
      <c r="K47" s="59"/>
      <c r="L47" s="59"/>
    </row>
    <row r="48" spans="3:12" outlineLevel="1" x14ac:dyDescent="0.25">
      <c r="C48" s="19" t="s">
        <v>29</v>
      </c>
      <c r="E48" s="58"/>
      <c r="F48" s="58"/>
      <c r="G48" s="58"/>
      <c r="H48" s="58"/>
      <c r="I48" s="58"/>
      <c r="J48" s="58"/>
      <c r="K48" s="58"/>
      <c r="L48" s="58"/>
    </row>
    <row r="49" spans="3:12" outlineLevel="1" x14ac:dyDescent="0.25">
      <c r="C49" s="49" t="s">
        <v>53</v>
      </c>
      <c r="D49" s="15" t="s">
        <v>47</v>
      </c>
      <c r="E49" s="18">
        <v>223.8</v>
      </c>
      <c r="F49" s="18">
        <v>204.251</v>
      </c>
      <c r="G49" s="18">
        <v>179.00800000000001</v>
      </c>
      <c r="H49" s="41">
        <f>H50*IS!H$8</f>
        <v>183.63514743099427</v>
      </c>
      <c r="I49" s="41">
        <f>I50*IS!I$8</f>
        <v>188.63546247389758</v>
      </c>
      <c r="J49" s="41">
        <f>J50*IS!J$8</f>
        <v>190.72390891889862</v>
      </c>
      <c r="K49" s="41">
        <f>K50*IS!K$8</f>
        <v>189.24642883086696</v>
      </c>
      <c r="L49" s="41">
        <f>L50*IS!L$8</f>
        <v>198.08877291227424</v>
      </c>
    </row>
    <row r="50" spans="3:12" outlineLevel="1" x14ac:dyDescent="0.25">
      <c r="C50" s="66" t="s">
        <v>110</v>
      </c>
      <c r="D50" s="15" t="s">
        <v>44</v>
      </c>
      <c r="E50" s="68">
        <f>E49/IS!E$8</f>
        <v>3.5461610983909174E-2</v>
      </c>
      <c r="F50" s="68">
        <f>F49/IS!F$8</f>
        <v>2.8606474457309475E-2</v>
      </c>
      <c r="G50" s="68">
        <f>G49/IS!G$8</f>
        <v>2.3890958530486107E-2</v>
      </c>
      <c r="H50" s="67">
        <v>2.1999999999999999E-2</v>
      </c>
      <c r="I50" s="67">
        <v>0.02</v>
      </c>
      <c r="J50" s="67">
        <v>1.7999999999999999E-2</v>
      </c>
      <c r="K50" s="67">
        <v>1.6E-2</v>
      </c>
      <c r="L50" s="67">
        <v>1.4999999999999999E-2</v>
      </c>
    </row>
    <row r="51" spans="3:12" outlineLevel="1" x14ac:dyDescent="0.25">
      <c r="C51" s="49" t="s">
        <v>71</v>
      </c>
      <c r="D51" s="15" t="s">
        <v>47</v>
      </c>
      <c r="E51" s="18">
        <v>42.286000000000001</v>
      </c>
      <c r="F51" s="18">
        <v>91.837999999999994</v>
      </c>
      <c r="G51" s="18">
        <v>110.893</v>
      </c>
      <c r="H51" s="41">
        <f>H52*IS!H$16</f>
        <v>128.46113268013642</v>
      </c>
      <c r="I51" s="41">
        <f>I52*IS!I$16</f>
        <v>148.88053875752365</v>
      </c>
      <c r="J51" s="41">
        <f>J52*IS!J$16</f>
        <v>175.14812302385525</v>
      </c>
      <c r="K51" s="41">
        <f>K52*IS!K$16</f>
        <v>204.4689384499498</v>
      </c>
      <c r="L51" s="41">
        <f>L52*IS!L$16</f>
        <v>233.74475203648359</v>
      </c>
    </row>
    <row r="52" spans="3:12" outlineLevel="1" x14ac:dyDescent="0.25">
      <c r="C52" s="66" t="s">
        <v>115</v>
      </c>
      <c r="D52" s="15" t="s">
        <v>44</v>
      </c>
      <c r="E52" s="68">
        <f>E51/IS!E$16</f>
        <v>2.6597544667848333E-2</v>
      </c>
      <c r="F52" s="68">
        <f>F51/IS!F$16</f>
        <v>4.9888882913391677E-2</v>
      </c>
      <c r="G52" s="68">
        <f>G51/IS!G$16</f>
        <v>5.2342980028169762E-2</v>
      </c>
      <c r="H52" s="67">
        <v>5.3999999999999999E-2</v>
      </c>
      <c r="I52" s="67">
        <v>5.5E-2</v>
      </c>
      <c r="J52" s="67">
        <v>5.7000000000000002E-2</v>
      </c>
      <c r="K52" s="67">
        <v>5.8999999999999997E-2</v>
      </c>
      <c r="L52" s="67">
        <v>0.06</v>
      </c>
    </row>
    <row r="53" spans="3:12" outlineLevel="1" x14ac:dyDescent="0.25">
      <c r="C53" s="50" t="s">
        <v>72</v>
      </c>
      <c r="D53" s="33" t="s">
        <v>47</v>
      </c>
      <c r="E53" s="21">
        <v>0</v>
      </c>
      <c r="F53" s="21">
        <v>0</v>
      </c>
      <c r="G53" s="21">
        <v>373.95100000000002</v>
      </c>
      <c r="H53" s="63">
        <f>G53+CFS!H49+CFS!H50+CFS!H51+CFS!H52</f>
        <v>273.95100000000002</v>
      </c>
      <c r="I53" s="63">
        <f>H53+CFS!I49+CFS!I50+CFS!I51+CFS!I52</f>
        <v>273.95100000000002</v>
      </c>
      <c r="J53" s="63">
        <f>I53+CFS!J49+CFS!J50+CFS!J51+CFS!J52</f>
        <v>273.95100000000002</v>
      </c>
      <c r="K53" s="63">
        <f>J53+CFS!K49+CFS!K50+CFS!K51+CFS!K52</f>
        <v>173.95100000000002</v>
      </c>
      <c r="L53" s="63">
        <f>K53+CFS!L49+CFS!L50+CFS!L51+CFS!L52</f>
        <v>173.95100000000002</v>
      </c>
    </row>
    <row r="54" spans="3:12" outlineLevel="1" x14ac:dyDescent="0.25">
      <c r="C54" s="19" t="s">
        <v>51</v>
      </c>
      <c r="D54" s="15" t="s">
        <v>47</v>
      </c>
      <c r="E54" s="36">
        <f t="shared" ref="E54:L54" si="4">E49+E51+E53</f>
        <v>266.08600000000001</v>
      </c>
      <c r="F54" s="36">
        <f t="shared" si="4"/>
        <v>296.089</v>
      </c>
      <c r="G54" s="36">
        <f t="shared" si="4"/>
        <v>663.85200000000009</v>
      </c>
      <c r="H54" s="36">
        <f t="shared" si="4"/>
        <v>586.0472801111307</v>
      </c>
      <c r="I54" s="36">
        <f t="shared" si="4"/>
        <v>611.46700123142125</v>
      </c>
      <c r="J54" s="36">
        <f t="shared" si="4"/>
        <v>639.82303194275391</v>
      </c>
      <c r="K54" s="36">
        <f t="shared" si="4"/>
        <v>567.66636728081676</v>
      </c>
      <c r="L54" s="36">
        <f t="shared" si="4"/>
        <v>605.78452494875785</v>
      </c>
    </row>
    <row r="55" spans="3:12" outlineLevel="1" x14ac:dyDescent="0.25">
      <c r="C55" s="19"/>
      <c r="E55" s="20"/>
      <c r="F55" s="20"/>
      <c r="G55" s="20"/>
      <c r="H55" s="20"/>
      <c r="I55" s="20"/>
      <c r="J55" s="20"/>
      <c r="K55" s="20"/>
      <c r="L55" s="20"/>
    </row>
    <row r="56" spans="3:12" outlineLevel="1" x14ac:dyDescent="0.25">
      <c r="C56" s="19" t="s">
        <v>16</v>
      </c>
      <c r="D56" s="15" t="s">
        <v>47</v>
      </c>
      <c r="E56" s="36">
        <f t="shared" ref="E56:L56" si="5">E46+E54</f>
        <v>1268.0639999999999</v>
      </c>
      <c r="F56" s="36">
        <f t="shared" si="5"/>
        <v>1457.7779999999998</v>
      </c>
      <c r="G56" s="36">
        <f t="shared" si="5"/>
        <v>1761.3710000000001</v>
      </c>
      <c r="H56" s="36">
        <f t="shared" si="5"/>
        <v>1872.4262859232063</v>
      </c>
      <c r="I56" s="36">
        <f t="shared" si="5"/>
        <v>2053.9725345777879</v>
      </c>
      <c r="J56" s="36">
        <f t="shared" si="5"/>
        <v>2250.3633545042571</v>
      </c>
      <c r="K56" s="36">
        <f t="shared" si="5"/>
        <v>2352.2595559773927</v>
      </c>
      <c r="L56" s="36">
        <f t="shared" si="5"/>
        <v>2585.5686356224173</v>
      </c>
    </row>
    <row r="57" spans="3:12" outlineLevel="1" x14ac:dyDescent="0.25">
      <c r="E57" s="59"/>
      <c r="F57" s="59"/>
      <c r="G57" s="59"/>
      <c r="H57" s="59"/>
      <c r="I57" s="59"/>
      <c r="J57" s="59"/>
      <c r="K57" s="59"/>
      <c r="L57" s="59"/>
    </row>
    <row r="58" spans="3:12" outlineLevel="1" x14ac:dyDescent="0.25">
      <c r="C58" s="2" t="s">
        <v>30</v>
      </c>
      <c r="E58" s="59"/>
      <c r="F58" s="59"/>
      <c r="G58" s="59"/>
      <c r="H58" s="59"/>
      <c r="I58" s="59"/>
      <c r="J58" s="59"/>
      <c r="K58" s="59"/>
      <c r="L58" s="59"/>
    </row>
    <row r="59" spans="3:12" outlineLevel="1" x14ac:dyDescent="0.25">
      <c r="C59" s="49" t="s">
        <v>73</v>
      </c>
      <c r="D59" s="15" t="s">
        <v>47</v>
      </c>
      <c r="E59" s="18">
        <v>6.4180000000000001</v>
      </c>
      <c r="F59" s="18">
        <v>5.6130000000000004</v>
      </c>
      <c r="G59" s="18">
        <v>5.6319999999999997</v>
      </c>
      <c r="H59" s="59">
        <f>G59</f>
        <v>5.6319999999999997</v>
      </c>
      <c r="I59" s="59">
        <f>H59</f>
        <v>5.6319999999999997</v>
      </c>
      <c r="J59" s="59">
        <f>I59</f>
        <v>5.6319999999999997</v>
      </c>
      <c r="K59" s="59">
        <f>J59</f>
        <v>5.6319999999999997</v>
      </c>
      <c r="L59" s="59">
        <f>K59</f>
        <v>5.6319999999999997</v>
      </c>
    </row>
    <row r="60" spans="3:12" outlineLevel="1" x14ac:dyDescent="0.25">
      <c r="C60" s="49" t="s">
        <v>74</v>
      </c>
      <c r="D60" s="15" t="s">
        <v>47</v>
      </c>
      <c r="E60" s="18">
        <v>4776.8040000000001</v>
      </c>
      <c r="F60" s="18">
        <v>4975.1149999999998</v>
      </c>
      <c r="G60" s="18">
        <v>5144.9219999999996</v>
      </c>
      <c r="H60" s="59">
        <f>G60+CFS!H53+CFS!H17</f>
        <v>5308.7964380280082</v>
      </c>
      <c r="I60" s="59">
        <f>H60+CFS!I53+CFS!I17</f>
        <v>5509.2203386236342</v>
      </c>
      <c r="J60" s="59">
        <f>I60+CFS!J53+CFS!J17</f>
        <v>5747.0378133638415</v>
      </c>
      <c r="K60" s="59">
        <f>J60+CFS!K53+CFS!K17</f>
        <v>6022.9742644673679</v>
      </c>
      <c r="L60" s="59">
        <f>K60+CFS!L53+CFS!L17</f>
        <v>6313.5830130675376</v>
      </c>
    </row>
    <row r="61" spans="3:12" outlineLevel="1" x14ac:dyDescent="0.25">
      <c r="C61" s="49" t="s">
        <v>75</v>
      </c>
      <c r="D61" s="15" t="s">
        <v>47</v>
      </c>
      <c r="E61" s="18">
        <v>9001.1730000000007</v>
      </c>
      <c r="F61" s="18">
        <v>5939.7359999999999</v>
      </c>
      <c r="G61" s="18">
        <v>7448.7839999999997</v>
      </c>
      <c r="H61" s="59">
        <f>G61+CFS!H8</f>
        <v>9127.7834356237454</v>
      </c>
      <c r="I61" s="59">
        <f>H61+CFS!I8</f>
        <v>11039.231050664142</v>
      </c>
      <c r="J61" s="59">
        <f>I61+CFS!J8</f>
        <v>13179.63746544865</v>
      </c>
      <c r="K61" s="59">
        <f>J61+CFS!K8</f>
        <v>15565.564978737661</v>
      </c>
      <c r="L61" s="59">
        <f>K61+CFS!L8</f>
        <v>18215.4251416474</v>
      </c>
    </row>
    <row r="62" spans="3:12" outlineLevel="1" x14ac:dyDescent="0.25">
      <c r="C62" s="49" t="s">
        <v>76</v>
      </c>
      <c r="D62" s="15" t="s">
        <v>47</v>
      </c>
      <c r="E62" s="18">
        <v>-159.07300000000001</v>
      </c>
      <c r="F62" s="18">
        <v>-125.337</v>
      </c>
      <c r="G62" s="18">
        <v>-269.48700000000002</v>
      </c>
      <c r="H62" s="59">
        <f>G62+CFS!H57</f>
        <v>-312.00666666666666</v>
      </c>
      <c r="I62" s="59">
        <f>H62+CFS!I57</f>
        <v>-354.52633333333335</v>
      </c>
      <c r="J62" s="59">
        <f>I62+CFS!J57</f>
        <v>-397.04600000000005</v>
      </c>
      <c r="K62" s="59">
        <f>J62+CFS!K57</f>
        <v>-439.56566666666674</v>
      </c>
      <c r="L62" s="59">
        <f>K62+CFS!L57</f>
        <v>-482.08533333333344</v>
      </c>
    </row>
    <row r="63" spans="3:12" outlineLevel="1" x14ac:dyDescent="0.25">
      <c r="C63" s="49" t="s">
        <v>77</v>
      </c>
      <c r="D63" s="15" t="s">
        <v>47</v>
      </c>
      <c r="E63" s="18">
        <v>-6600.2809999999999</v>
      </c>
      <c r="F63" s="18">
        <v>-2566.3829999999998</v>
      </c>
      <c r="G63" s="18">
        <v>-6372.1329999999998</v>
      </c>
      <c r="H63" s="59">
        <f>G63+CFS!H54</f>
        <v>-7372.1329999999998</v>
      </c>
      <c r="I63" s="59">
        <f>H63+CFS!I54</f>
        <v>-8622.1329999999998</v>
      </c>
      <c r="J63" s="59">
        <f>I63+CFS!J54</f>
        <v>-10122.133</v>
      </c>
      <c r="K63" s="59">
        <f>J63+CFS!K54</f>
        <v>-11872.133</v>
      </c>
      <c r="L63" s="59">
        <f>K63+CFS!L54</f>
        <v>-13872.133</v>
      </c>
    </row>
    <row r="64" spans="3:12" outlineLevel="1" x14ac:dyDescent="0.25">
      <c r="C64" s="25" t="s">
        <v>78</v>
      </c>
      <c r="D64" s="42" t="s">
        <v>47</v>
      </c>
      <c r="E64" s="38">
        <f t="shared" ref="E64:L64" si="6">SUM(E59:E63)</f>
        <v>7025.0410000000002</v>
      </c>
      <c r="F64" s="38">
        <f t="shared" si="6"/>
        <v>8228.7440000000006</v>
      </c>
      <c r="G64" s="38">
        <f t="shared" si="6"/>
        <v>5957.7180000000008</v>
      </c>
      <c r="H64" s="26">
        <f t="shared" si="6"/>
        <v>6758.0722069850872</v>
      </c>
      <c r="I64" s="26">
        <f t="shared" si="6"/>
        <v>7577.4240559544451</v>
      </c>
      <c r="J64" s="26">
        <f t="shared" si="6"/>
        <v>8413.1282788124936</v>
      </c>
      <c r="K64" s="26">
        <f t="shared" si="6"/>
        <v>9282.472576538361</v>
      </c>
      <c r="L64" s="26">
        <f t="shared" si="6"/>
        <v>10180.421821381604</v>
      </c>
    </row>
    <row r="65" spans="3:12" outlineLevel="1" x14ac:dyDescent="0.25">
      <c r="C65" s="19"/>
      <c r="E65" s="20"/>
      <c r="F65" s="20"/>
      <c r="G65" s="20"/>
      <c r="H65" s="59"/>
      <c r="I65" s="59"/>
      <c r="J65" s="59"/>
      <c r="K65" s="59"/>
      <c r="L65" s="59"/>
    </row>
    <row r="66" spans="3:12" outlineLevel="1" x14ac:dyDescent="0.25">
      <c r="C66" s="19" t="s">
        <v>45</v>
      </c>
      <c r="D66" s="15" t="s">
        <v>47</v>
      </c>
      <c r="E66" s="40">
        <f t="shared" ref="E66:L66" si="7">E56+E64</f>
        <v>8293.1049999999996</v>
      </c>
      <c r="F66" s="40">
        <f t="shared" si="7"/>
        <v>9686.5220000000008</v>
      </c>
      <c r="G66" s="40">
        <f t="shared" si="7"/>
        <v>7719.0890000000009</v>
      </c>
      <c r="H66" s="40">
        <f t="shared" si="7"/>
        <v>8630.498492908293</v>
      </c>
      <c r="I66" s="40">
        <f t="shared" si="7"/>
        <v>9631.3965905322329</v>
      </c>
      <c r="J66" s="40">
        <f t="shared" si="7"/>
        <v>10663.491633316751</v>
      </c>
      <c r="K66" s="40">
        <f t="shared" si="7"/>
        <v>11634.732132515754</v>
      </c>
      <c r="L66" s="40">
        <f t="shared" si="7"/>
        <v>12765.990457004022</v>
      </c>
    </row>
    <row r="67" spans="3:12" outlineLevel="1" x14ac:dyDescent="0.25">
      <c r="C67" s="49"/>
      <c r="E67" s="59"/>
      <c r="F67" s="59"/>
      <c r="G67" s="20"/>
      <c r="H67" s="20"/>
      <c r="I67" s="20"/>
      <c r="J67" s="20"/>
      <c r="K67" s="20"/>
      <c r="L67" s="20"/>
    </row>
    <row r="68" spans="3:12" outlineLevel="1" x14ac:dyDescent="0.25">
      <c r="C68" s="23" t="s">
        <v>31</v>
      </c>
      <c r="E68" s="24">
        <f t="shared" ref="E68:L68" si="8">E30-E66</f>
        <v>0</v>
      </c>
      <c r="F68" s="24">
        <f t="shared" si="8"/>
        <v>0</v>
      </c>
      <c r="G68" s="24">
        <f t="shared" si="8"/>
        <v>0</v>
      </c>
      <c r="H68" s="24">
        <f t="shared" si="8"/>
        <v>0</v>
      </c>
      <c r="I68" s="24">
        <f t="shared" si="8"/>
        <v>0</v>
      </c>
      <c r="J68" s="24">
        <f t="shared" si="8"/>
        <v>0</v>
      </c>
      <c r="K68" s="24">
        <f t="shared" si="8"/>
        <v>0</v>
      </c>
      <c r="L68" s="24">
        <f t="shared" si="8"/>
        <v>0</v>
      </c>
    </row>
  </sheetData>
  <pageMargins left="0.7" right="0.7" top="0.75" bottom="0.75" header="0.3" footer="0.3"/>
  <pageSetup scale="49" orientation="portrait" horizontalDpi="200" verticalDpi="200" r:id="rId1"/>
  <ignoredErrors>
    <ignoredError sqref="H36:L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E543-3366-4A83-B654-B2C05441698A}">
  <sheetPr>
    <pageSetUpPr autoPageBreaks="0"/>
  </sheetPr>
  <dimension ref="B2:L61"/>
  <sheetViews>
    <sheetView showGridLines="0" zoomScaleNormal="100" workbookViewId="0">
      <selection activeCell="B2" sqref="B2"/>
    </sheetView>
  </sheetViews>
  <sheetFormatPr defaultRowHeight="15.75" outlineLevelRow="1" outlineLevelCol="1" x14ac:dyDescent="0.25"/>
  <cols>
    <col min="1" max="2" width="2.7109375" style="53" customWidth="1"/>
    <col min="3" max="3" width="51.7109375" style="53" bestFit="1" customWidth="1"/>
    <col min="4" max="4" width="12.7109375" style="53" customWidth="1"/>
    <col min="5" max="7" width="12.7109375" style="53" customWidth="1" outlineLevel="1"/>
    <col min="8" max="8" width="12.7109375" style="53" bestFit="1" customWidth="1"/>
    <col min="9" max="12" width="11.7109375" style="53" customWidth="1"/>
    <col min="13" max="14" width="2.7109375" style="53" customWidth="1"/>
    <col min="15" max="22" width="11.7109375" style="53" customWidth="1"/>
    <col min="23" max="16384" width="9.140625" style="53"/>
  </cols>
  <sheetData>
    <row r="2" spans="2:12" ht="18.75" x14ac:dyDescent="0.3">
      <c r="B2" s="43" t="str">
        <f>Company_Name&amp;" - Cash Flow Statement"</f>
        <v>Monster Beverage Corporation - Cash Flow Statement</v>
      </c>
    </row>
    <row r="3" spans="2:12" x14ac:dyDescent="0.25">
      <c r="B3" s="53" t="str">
        <f>MNST!$B$3</f>
        <v>($ in Millions Except Per Share and Per Unit Data)</v>
      </c>
    </row>
    <row r="5" spans="2:12" x14ac:dyDescent="0.25">
      <c r="B5" s="8"/>
      <c r="C5" s="8"/>
      <c r="D5" s="8"/>
      <c r="E5" s="9" t="str">
        <f>MNST!$E$11</f>
        <v>Historical:</v>
      </c>
      <c r="F5" s="9"/>
      <c r="G5" s="9"/>
      <c r="H5" s="10" t="str">
        <f>MNST!$H$11</f>
        <v>Projected:</v>
      </c>
      <c r="I5" s="9"/>
      <c r="J5" s="9"/>
      <c r="K5" s="9"/>
      <c r="L5" s="9"/>
    </row>
    <row r="6" spans="2:12" x14ac:dyDescent="0.25">
      <c r="B6" s="29" t="s">
        <v>17</v>
      </c>
      <c r="C6" s="29"/>
      <c r="D6" s="30" t="str">
        <f>MNST!$D$12</f>
        <v>Units:</v>
      </c>
      <c r="E6" s="31">
        <f>MNST!$E$12</f>
        <v>44926</v>
      </c>
      <c r="F6" s="31">
        <f>MNST!$F$12</f>
        <v>45291</v>
      </c>
      <c r="G6" s="31">
        <f>MNST!$G$12</f>
        <v>45657</v>
      </c>
      <c r="H6" s="32">
        <f>MNST!$H$12</f>
        <v>46022</v>
      </c>
      <c r="I6" s="31">
        <f>MNST!$I$12</f>
        <v>46387</v>
      </c>
      <c r="J6" s="31">
        <f>MNST!$J$12</f>
        <v>46752</v>
      </c>
      <c r="K6" s="31">
        <f>MNST!$K$12</f>
        <v>47118</v>
      </c>
      <c r="L6" s="31">
        <f>MNST!$L$12</f>
        <v>47483</v>
      </c>
    </row>
    <row r="7" spans="2:12" outlineLevel="1" x14ac:dyDescent="0.25">
      <c r="B7" s="14" t="s">
        <v>32</v>
      </c>
      <c r="C7" s="34"/>
      <c r="D7" s="14"/>
      <c r="E7" s="14" t="s">
        <v>33</v>
      </c>
      <c r="F7" s="14" t="s">
        <v>33</v>
      </c>
      <c r="G7" s="14" t="s">
        <v>33</v>
      </c>
      <c r="H7" s="14" t="s">
        <v>33</v>
      </c>
      <c r="I7" s="14" t="s">
        <v>33</v>
      </c>
      <c r="J7" s="14" t="s">
        <v>33</v>
      </c>
      <c r="K7" s="14" t="s">
        <v>33</v>
      </c>
      <c r="L7" s="14" t="s">
        <v>33</v>
      </c>
    </row>
    <row r="8" spans="2:12" outlineLevel="1" x14ac:dyDescent="0.25">
      <c r="C8" s="2" t="s">
        <v>7</v>
      </c>
      <c r="D8" s="15" t="s">
        <v>47</v>
      </c>
      <c r="E8" s="72">
        <f>IS!E33</f>
        <v>1191.624</v>
      </c>
      <c r="F8" s="72">
        <f>IS!F33</f>
        <v>1630.9879999999998</v>
      </c>
      <c r="G8" s="72">
        <f>IS!G33</f>
        <v>1509.048</v>
      </c>
      <c r="H8" s="72">
        <f>IS!H33</f>
        <v>1678.9994356237462</v>
      </c>
      <c r="I8" s="72">
        <f>IS!I33</f>
        <v>1911.4476150403966</v>
      </c>
      <c r="J8" s="72">
        <f>IS!J33</f>
        <v>2140.4064147845079</v>
      </c>
      <c r="K8" s="72">
        <f>IS!K33</f>
        <v>2385.9275132890116</v>
      </c>
      <c r="L8" s="72">
        <f>IS!L33</f>
        <v>2649.8601629097375</v>
      </c>
    </row>
    <row r="9" spans="2:12" outlineLevel="1" x14ac:dyDescent="0.25">
      <c r="C9" s="2" t="s">
        <v>34</v>
      </c>
      <c r="E9" s="64"/>
      <c r="F9" s="58"/>
      <c r="G9" s="58"/>
      <c r="H9" s="58"/>
      <c r="I9" s="58"/>
      <c r="J9" s="58"/>
      <c r="K9" s="58"/>
      <c r="L9" s="58"/>
    </row>
    <row r="10" spans="2:12" outlineLevel="1" x14ac:dyDescent="0.25">
      <c r="C10" s="49" t="s">
        <v>102</v>
      </c>
      <c r="D10" s="15" t="s">
        <v>47</v>
      </c>
      <c r="E10" s="18">
        <v>61.241</v>
      </c>
      <c r="F10" s="18">
        <v>68.897999999999996</v>
      </c>
      <c r="G10" s="18">
        <v>80.433999999999997</v>
      </c>
      <c r="H10" s="41">
        <f>H11*IS!H$8</f>
        <v>83.71616427749295</v>
      </c>
      <c r="I10" s="41">
        <f>I11*IS!I$8</f>
        <v>94.595295859992433</v>
      </c>
      <c r="J10" s="41">
        <f>J11*IS!J$8</f>
        <v>106.26954677054233</v>
      </c>
      <c r="K10" s="41">
        <f>K11*IS!K$8</f>
        <v>118.62709754389387</v>
      </c>
      <c r="L10" s="41">
        <f>L11*IS!L$8</f>
        <v>132.44781466809187</v>
      </c>
    </row>
    <row r="11" spans="2:12" outlineLevel="1" x14ac:dyDescent="0.25">
      <c r="C11" s="66" t="s">
        <v>110</v>
      </c>
      <c r="D11" s="15" t="s">
        <v>44</v>
      </c>
      <c r="E11" s="68">
        <f>E10/IS!E8</f>
        <v>9.703773540060686E-3</v>
      </c>
      <c r="F11" s="68">
        <f>F10/IS!F8</f>
        <v>9.6495433420629908E-3</v>
      </c>
      <c r="G11" s="68">
        <f>G10/IS!G8</f>
        <v>1.0734969154680904E-2</v>
      </c>
      <c r="H11" s="68">
        <f>AVERAGE(E11:G11)</f>
        <v>1.002942867893486E-2</v>
      </c>
      <c r="I11" s="68">
        <f t="shared" ref="I11:L16" si="0">H11</f>
        <v>1.002942867893486E-2</v>
      </c>
      <c r="J11" s="68">
        <f t="shared" si="0"/>
        <v>1.002942867893486E-2</v>
      </c>
      <c r="K11" s="68">
        <f t="shared" si="0"/>
        <v>1.002942867893486E-2</v>
      </c>
      <c r="L11" s="68">
        <f t="shared" si="0"/>
        <v>1.002942867893486E-2</v>
      </c>
    </row>
    <row r="12" spans="2:12" outlineLevel="1" x14ac:dyDescent="0.25">
      <c r="C12" s="49" t="s">
        <v>79</v>
      </c>
      <c r="D12" s="15" t="s">
        <v>47</v>
      </c>
      <c r="E12" s="18">
        <v>7.3369999999999997</v>
      </c>
      <c r="F12" s="18">
        <v>9.0429999999999993</v>
      </c>
      <c r="G12" s="18">
        <v>13.521000000000001</v>
      </c>
      <c r="H12" s="41">
        <f>G12</f>
        <v>13.521000000000001</v>
      </c>
      <c r="I12" s="41">
        <f t="shared" si="0"/>
        <v>13.521000000000001</v>
      </c>
      <c r="J12" s="41">
        <f t="shared" si="0"/>
        <v>13.521000000000001</v>
      </c>
      <c r="K12" s="41">
        <f t="shared" si="0"/>
        <v>13.521000000000001</v>
      </c>
      <c r="L12" s="41">
        <f t="shared" si="0"/>
        <v>13.521000000000001</v>
      </c>
    </row>
    <row r="13" spans="2:12" outlineLevel="1" x14ac:dyDescent="0.25">
      <c r="C13" s="49" t="s">
        <v>101</v>
      </c>
      <c r="D13" s="15" t="s">
        <v>47</v>
      </c>
      <c r="E13" s="18">
        <v>-0.185</v>
      </c>
      <c r="F13" s="18">
        <v>0.16600000000000001</v>
      </c>
      <c r="G13" s="18">
        <v>3.3279999999999998</v>
      </c>
      <c r="H13" s="18">
        <v>0</v>
      </c>
      <c r="I13" s="41">
        <f t="shared" si="0"/>
        <v>0</v>
      </c>
      <c r="J13" s="41">
        <f t="shared" si="0"/>
        <v>0</v>
      </c>
      <c r="K13" s="41">
        <f t="shared" si="0"/>
        <v>0</v>
      </c>
      <c r="L13" s="41">
        <f t="shared" si="0"/>
        <v>0</v>
      </c>
    </row>
    <row r="14" spans="2:12" outlineLevel="1" x14ac:dyDescent="0.25">
      <c r="C14" s="49" t="s">
        <v>98</v>
      </c>
      <c r="D14" s="15" t="s">
        <v>47</v>
      </c>
      <c r="E14" s="18">
        <v>0</v>
      </c>
      <c r="F14" s="18">
        <v>-45.381999999999998</v>
      </c>
      <c r="G14" s="18">
        <v>0</v>
      </c>
      <c r="H14" s="18">
        <v>0</v>
      </c>
      <c r="I14" s="41">
        <f t="shared" si="0"/>
        <v>0</v>
      </c>
      <c r="J14" s="41">
        <f t="shared" si="0"/>
        <v>0</v>
      </c>
      <c r="K14" s="41">
        <f t="shared" si="0"/>
        <v>0</v>
      </c>
      <c r="L14" s="41">
        <f t="shared" si="0"/>
        <v>0</v>
      </c>
    </row>
    <row r="15" spans="2:12" outlineLevel="1" x14ac:dyDescent="0.25">
      <c r="C15" s="49" t="s">
        <v>99</v>
      </c>
      <c r="D15" s="15" t="s">
        <v>47</v>
      </c>
      <c r="E15" s="18">
        <v>2.2000000000000002</v>
      </c>
      <c r="F15" s="18">
        <v>38.700000000000003</v>
      </c>
      <c r="G15" s="18">
        <v>127.098</v>
      </c>
      <c r="H15" s="18">
        <v>0</v>
      </c>
      <c r="I15" s="41">
        <f t="shared" si="0"/>
        <v>0</v>
      </c>
      <c r="J15" s="41">
        <f t="shared" si="0"/>
        <v>0</v>
      </c>
      <c r="K15" s="41">
        <f t="shared" si="0"/>
        <v>0</v>
      </c>
      <c r="L15" s="41">
        <f t="shared" si="0"/>
        <v>0</v>
      </c>
    </row>
    <row r="16" spans="2:12" outlineLevel="1" x14ac:dyDescent="0.25">
      <c r="C16" s="49" t="s">
        <v>100</v>
      </c>
      <c r="D16" s="15" t="s">
        <v>47</v>
      </c>
      <c r="E16" s="18">
        <v>0</v>
      </c>
      <c r="F16" s="18">
        <v>4.3360000000000003</v>
      </c>
      <c r="G16" s="18">
        <v>8.1839999999999993</v>
      </c>
      <c r="H16" s="18">
        <v>0</v>
      </c>
      <c r="I16" s="41">
        <f t="shared" si="0"/>
        <v>0</v>
      </c>
      <c r="J16" s="41">
        <f t="shared" si="0"/>
        <v>0</v>
      </c>
      <c r="K16" s="41">
        <f t="shared" si="0"/>
        <v>0</v>
      </c>
      <c r="L16" s="41">
        <f t="shared" si="0"/>
        <v>0</v>
      </c>
    </row>
    <row r="17" spans="3:12" outlineLevel="1" x14ac:dyDescent="0.25">
      <c r="C17" s="49" t="s">
        <v>80</v>
      </c>
      <c r="D17" s="15" t="s">
        <v>47</v>
      </c>
      <c r="E17" s="18">
        <v>64.108999999999995</v>
      </c>
      <c r="F17" s="18">
        <v>68.835999999999999</v>
      </c>
      <c r="G17" s="18">
        <v>90.984999999999999</v>
      </c>
      <c r="H17" s="41">
        <f>H18*IS!H$8</f>
        <v>88.874438028008498</v>
      </c>
      <c r="I17" s="41">
        <f>I18*IS!I$8</f>
        <v>100.42390059562574</v>
      </c>
      <c r="J17" s="41">
        <f>J18*IS!J$8</f>
        <v>112.81747474020742</v>
      </c>
      <c r="K17" s="41">
        <f>K18*IS!K$8</f>
        <v>125.93645110352688</v>
      </c>
      <c r="L17" s="41">
        <f>L18*IS!L$8</f>
        <v>140.60874860016938</v>
      </c>
    </row>
    <row r="18" spans="3:12" outlineLevel="1" x14ac:dyDescent="0.25">
      <c r="C18" s="66" t="s">
        <v>110</v>
      </c>
      <c r="D18" s="15" t="s">
        <v>44</v>
      </c>
      <c r="E18" s="68">
        <f>E17/IS!E8</f>
        <v>1.0158214560176198E-2</v>
      </c>
      <c r="F18" s="68">
        <f>F17/IS!F8</f>
        <v>9.6408599015101754E-3</v>
      </c>
      <c r="G18" s="68">
        <f>G17/IS!G8</f>
        <v>1.2143138082634732E-2</v>
      </c>
      <c r="H18" s="68">
        <f>AVERAGE(E18:G18)</f>
        <v>1.0647404181440369E-2</v>
      </c>
      <c r="I18" s="68">
        <f>H18</f>
        <v>1.0647404181440369E-2</v>
      </c>
      <c r="J18" s="68">
        <f>I18</f>
        <v>1.0647404181440369E-2</v>
      </c>
      <c r="K18" s="68">
        <f>J18</f>
        <v>1.0647404181440369E-2</v>
      </c>
      <c r="L18" s="68">
        <f>K18</f>
        <v>1.0647404181440369E-2</v>
      </c>
    </row>
    <row r="19" spans="3:12" outlineLevel="1" x14ac:dyDescent="0.25">
      <c r="C19" s="49" t="s">
        <v>81</v>
      </c>
      <c r="D19" s="15" t="s">
        <v>47</v>
      </c>
      <c r="E19" s="18">
        <v>48.182000000000002</v>
      </c>
      <c r="F19" s="18">
        <v>2.04</v>
      </c>
      <c r="G19" s="18">
        <v>-11.705</v>
      </c>
      <c r="H19" s="59">
        <f>H20*IS!H$30</f>
        <v>18.050617201470992</v>
      </c>
      <c r="I19" s="59">
        <f>I20*IS!I$30</f>
        <v>20.549625251625613</v>
      </c>
      <c r="J19" s="59">
        <f>J20*IS!J$30</f>
        <v>23.011119616305884</v>
      </c>
      <c r="K19" s="59">
        <f>K20*IS!K$30</f>
        <v>25.650672239111287</v>
      </c>
      <c r="L19" s="59">
        <f>L20*IS!L$30</f>
        <v>28.488164095386878</v>
      </c>
    </row>
    <row r="20" spans="3:12" outlineLevel="1" x14ac:dyDescent="0.25">
      <c r="C20" s="66" t="s">
        <v>116</v>
      </c>
      <c r="D20" s="15" t="s">
        <v>44</v>
      </c>
      <c r="E20" s="68">
        <f>E19/IS!E$30</f>
        <v>0.12668139033496348</v>
      </c>
      <c r="F20" s="68">
        <f>F19/IS!F$30</f>
        <v>4.6629210914892541E-3</v>
      </c>
      <c r="G20" s="68">
        <f>G19/IS!G$30</f>
        <v>-2.4364554516861606E-2</v>
      </c>
      <c r="H20" s="68">
        <f>AVERAGE(E20:G20)</f>
        <v>3.5659918969863709E-2</v>
      </c>
      <c r="I20" s="68">
        <f>H20</f>
        <v>3.5659918969863709E-2</v>
      </c>
      <c r="J20" s="68">
        <f>I20</f>
        <v>3.5659918969863709E-2</v>
      </c>
      <c r="K20" s="68">
        <f>J20</f>
        <v>3.5659918969863709E-2</v>
      </c>
      <c r="L20" s="68">
        <f>K20</f>
        <v>3.5659918969863709E-2</v>
      </c>
    </row>
    <row r="21" spans="3:12" outlineLevel="1" x14ac:dyDescent="0.25">
      <c r="C21" s="2" t="s">
        <v>35</v>
      </c>
      <c r="E21" s="54"/>
      <c r="F21" s="18"/>
      <c r="G21" s="18"/>
      <c r="H21" s="59"/>
      <c r="I21" s="59"/>
      <c r="J21" s="59"/>
      <c r="K21" s="59"/>
      <c r="L21" s="59"/>
    </row>
    <row r="22" spans="3:12" outlineLevel="1" x14ac:dyDescent="0.25">
      <c r="C22" s="49" t="s">
        <v>46</v>
      </c>
      <c r="D22" s="15" t="s">
        <v>47</v>
      </c>
      <c r="E22" s="18">
        <v>-128.98099999999999</v>
      </c>
      <c r="F22" s="18">
        <v>-163.15799999999999</v>
      </c>
      <c r="G22" s="18">
        <v>-93.915000000000006</v>
      </c>
      <c r="H22" s="59">
        <f>BS!G11-BS!H11</f>
        <v>-145.28253895420107</v>
      </c>
      <c r="I22" s="59">
        <f>BS!H11-BS!I11</f>
        <v>-177.63589107909684</v>
      </c>
      <c r="J22" s="59">
        <f>BS!I11-BS!J11</f>
        <v>-190.61870402527484</v>
      </c>
      <c r="K22" s="59">
        <f>BS!J11-BS!K11</f>
        <v>-201.77571403867046</v>
      </c>
      <c r="L22" s="59">
        <f>BS!K11-BS!L11</f>
        <v>-225.66648662089233</v>
      </c>
    </row>
    <row r="23" spans="3:12" outlineLevel="1" x14ac:dyDescent="0.25">
      <c r="C23" s="49" t="s">
        <v>82</v>
      </c>
      <c r="D23" s="15" t="s">
        <v>47</v>
      </c>
      <c r="E23" s="18">
        <v>-347.71199999999999</v>
      </c>
      <c r="F23" s="18">
        <v>7.8979999999999997</v>
      </c>
      <c r="G23" s="18">
        <v>211.50299999999999</v>
      </c>
      <c r="H23" s="59">
        <f>BS!G13-BS!H13</f>
        <v>-63.959595406932749</v>
      </c>
      <c r="I23" s="59">
        <f>BS!H13-BS!I13</f>
        <v>-87.2649562482693</v>
      </c>
      <c r="J23" s="59">
        <f>BS!I13-BS!J13</f>
        <v>-90.844996734423489</v>
      </c>
      <c r="K23" s="59">
        <f>BS!J13-BS!K13</f>
        <v>-85.334613784001135</v>
      </c>
      <c r="L23" s="59">
        <f>BS!K13-BS!L13</f>
        <v>-124.02147530001889</v>
      </c>
    </row>
    <row r="24" spans="3:12" outlineLevel="1" x14ac:dyDescent="0.25">
      <c r="C24" s="49" t="s">
        <v>83</v>
      </c>
      <c r="D24" s="15" t="s">
        <v>47</v>
      </c>
      <c r="E24" s="18">
        <v>-38.268000000000001</v>
      </c>
      <c r="F24" s="18">
        <v>-10.215</v>
      </c>
      <c r="G24" s="18">
        <v>8.9589999999999996</v>
      </c>
      <c r="H24" s="59">
        <f>BS!G15-BS!H15</f>
        <v>-6.9256734934546103</v>
      </c>
      <c r="I24" s="59">
        <f>BS!H15-BS!I15</f>
        <v>-7.6236763990647205</v>
      </c>
      <c r="J24" s="59">
        <f>BS!I15-BS!J15</f>
        <v>-10.317935897406556</v>
      </c>
      <c r="K24" s="59">
        <f>BS!J15-BS!K15</f>
        <v>-9.9592985566494008</v>
      </c>
      <c r="L24" s="59">
        <f>BS!K15-BS!L15</f>
        <v>-13.741250344413771</v>
      </c>
    </row>
    <row r="25" spans="3:12" outlineLevel="1" x14ac:dyDescent="0.25">
      <c r="C25" s="49" t="s">
        <v>64</v>
      </c>
      <c r="D25" s="15" t="s">
        <v>47</v>
      </c>
      <c r="E25" s="18">
        <v>-4.4390000000000001</v>
      </c>
      <c r="F25" s="18">
        <v>-18.832999999999998</v>
      </c>
      <c r="G25" s="18">
        <v>3.0619999999999998</v>
      </c>
      <c r="H25" s="59">
        <f>BS!G17-BS!H17</f>
        <v>-13.77111719345281</v>
      </c>
      <c r="I25" s="59">
        <f>BS!H17-BS!I17</f>
        <v>-7.7176893947498186</v>
      </c>
      <c r="J25" s="59">
        <f>BS!I17-BS!J17</f>
        <v>-8.6081681290787415</v>
      </c>
      <c r="K25" s="59">
        <f>BS!J17-BS!K17</f>
        <v>-9.2421762429381999</v>
      </c>
      <c r="L25" s="59">
        <f>BS!K17-BS!L17</f>
        <v>-10.121439221846799</v>
      </c>
    </row>
    <row r="26" spans="3:12" outlineLevel="1" x14ac:dyDescent="0.25">
      <c r="C26" s="49" t="s">
        <v>14</v>
      </c>
      <c r="D26" s="15" t="s">
        <v>47</v>
      </c>
      <c r="E26" s="18">
        <v>49.765000000000001</v>
      </c>
      <c r="F26" s="18">
        <v>112.786</v>
      </c>
      <c r="G26" s="18">
        <v>-61.491</v>
      </c>
      <c r="H26" s="59">
        <f>BS!H34-BS!G34</f>
        <v>100.15832869639121</v>
      </c>
      <c r="I26" s="59">
        <f>BS!I34-BS!H34</f>
        <v>70.870913937478349</v>
      </c>
      <c r="J26" s="59">
        <f>BS!J34-BS!I34</f>
        <v>75.563549830417173</v>
      </c>
      <c r="K26" s="59">
        <f>BS!K34-BS!J34</f>
        <v>77.680296507557841</v>
      </c>
      <c r="L26" s="59">
        <f>BS!L34-BS!K34</f>
        <v>92.161505218248749</v>
      </c>
    </row>
    <row r="27" spans="3:12" outlineLevel="1" x14ac:dyDescent="0.25">
      <c r="C27" s="49" t="s">
        <v>52</v>
      </c>
      <c r="D27" s="15" t="s">
        <v>47</v>
      </c>
      <c r="E27" s="18">
        <v>-30.419</v>
      </c>
      <c r="F27" s="18">
        <v>-10.393000000000001</v>
      </c>
      <c r="G27" s="18">
        <v>18.370999999999999</v>
      </c>
      <c r="H27" s="59">
        <f>BS!H36-BS!G36</f>
        <v>27.404451904089541</v>
      </c>
      <c r="I27" s="59">
        <f>BS!I36-BS!H36</f>
        <v>34.21798044143415</v>
      </c>
      <c r="J27" s="59">
        <f>BS!J36-BS!I36</f>
        <v>38.166103040862595</v>
      </c>
      <c r="K27" s="59">
        <f>BS!K36-BS!J36</f>
        <v>40.977109824124852</v>
      </c>
      <c r="L27" s="59">
        <f>BS!L36-BS!K36</f>
        <v>44.875505040138421</v>
      </c>
    </row>
    <row r="28" spans="3:12" outlineLevel="1" x14ac:dyDescent="0.25">
      <c r="C28" s="49" t="s">
        <v>68</v>
      </c>
      <c r="D28" s="15" t="s">
        <v>47</v>
      </c>
      <c r="E28" s="18">
        <v>50.820999999999998</v>
      </c>
      <c r="F28" s="18">
        <v>8.4179999999999993</v>
      </c>
      <c r="G28" s="18">
        <v>9.7360000000000007</v>
      </c>
      <c r="H28" s="59">
        <f>BS!H38-BS!G38</f>
        <v>29.652733055871352</v>
      </c>
      <c r="I28" s="59">
        <f>BS!I38-BS!H38</f>
        <v>27.466533324180205</v>
      </c>
      <c r="J28" s="59">
        <f>BS!J38-BS!I38</f>
        <v>28.538753755796733</v>
      </c>
      <c r="K28" s="59">
        <f>BS!K38-BS!J38</f>
        <v>27.844254940329336</v>
      </c>
      <c r="L28" s="59">
        <f>BS!L38-BS!K38</f>
        <v>27.840040987668658</v>
      </c>
    </row>
    <row r="29" spans="3:12" outlineLevel="1" x14ac:dyDescent="0.25">
      <c r="C29" s="49" t="s">
        <v>69</v>
      </c>
      <c r="D29" s="15" t="s">
        <v>47</v>
      </c>
      <c r="E29" s="18">
        <v>3.7290000000000001</v>
      </c>
      <c r="F29" s="18">
        <v>13.398</v>
      </c>
      <c r="G29" s="18">
        <v>5.9470000000000001</v>
      </c>
      <c r="H29" s="59">
        <f>BS!H42-BS!G42</f>
        <v>15.938529505851577</v>
      </c>
      <c r="I29" s="59">
        <f>BS!I42-BS!H42</f>
        <v>14.945386595965175</v>
      </c>
      <c r="J29" s="59">
        <f>BS!J42-BS!I42</f>
        <v>16.669808020476637</v>
      </c>
      <c r="K29" s="59">
        <f>BS!K42-BS!J42</f>
        <v>17.897571393935863</v>
      </c>
      <c r="L29" s="59">
        <f>BS!L42-BS!K42</f>
        <v>19.600273390241654</v>
      </c>
    </row>
    <row r="30" spans="3:12" outlineLevel="1" x14ac:dyDescent="0.25">
      <c r="C30" s="49" t="s">
        <v>70</v>
      </c>
      <c r="D30" s="15" t="s">
        <v>47</v>
      </c>
      <c r="E30" s="18">
        <v>-16.86</v>
      </c>
      <c r="F30" s="18">
        <v>1.748</v>
      </c>
      <c r="G30" s="18">
        <v>9.4380000000000006</v>
      </c>
      <c r="H30" s="59">
        <f>BS!H44-BS!G44</f>
        <v>9.0764968823694954</v>
      </c>
      <c r="I30" s="59">
        <f>BS!I44-BS!H44</f>
        <v>1.8111992881052199</v>
      </c>
      <c r="J30" s="59">
        <f>BS!J44-BS!I44</f>
        <v>1.7840105960075121</v>
      </c>
      <c r="K30" s="59">
        <f>BS!K44-BS!J44</f>
        <v>1.9130613969193142</v>
      </c>
      <c r="L30" s="59">
        <f>BS!L44-BS!K44</f>
        <v>2.0565212784219433</v>
      </c>
    </row>
    <row r="31" spans="3:12" outlineLevel="1" x14ac:dyDescent="0.25">
      <c r="C31" s="49" t="s">
        <v>71</v>
      </c>
      <c r="D31" s="15" t="s">
        <v>47</v>
      </c>
      <c r="E31" s="18">
        <v>-4.54</v>
      </c>
      <c r="F31" s="18">
        <v>22.951000000000001</v>
      </c>
      <c r="G31" s="18">
        <v>13.39</v>
      </c>
      <c r="H31" s="59">
        <f>BS!H51-BS!G51</f>
        <v>17.568132680136415</v>
      </c>
      <c r="I31" s="59">
        <f>BS!I51-BS!H51</f>
        <v>20.419406077387237</v>
      </c>
      <c r="J31" s="59">
        <f>BS!J51-BS!I51</f>
        <v>26.267584266331596</v>
      </c>
      <c r="K31" s="59">
        <f>BS!K51-BS!J51</f>
        <v>29.320815426094555</v>
      </c>
      <c r="L31" s="59">
        <f>BS!L51-BS!K51</f>
        <v>29.275813586533786</v>
      </c>
    </row>
    <row r="32" spans="3:12" outlineLevel="1" x14ac:dyDescent="0.25">
      <c r="C32" s="49" t="s">
        <v>53</v>
      </c>
      <c r="D32" s="15" t="s">
        <v>47</v>
      </c>
      <c r="E32" s="18">
        <v>-19.905000000000001</v>
      </c>
      <c r="F32" s="18">
        <v>-24.472000000000001</v>
      </c>
      <c r="G32" s="18">
        <v>-17.36</v>
      </c>
      <c r="H32" s="59">
        <f>BS!H40-BS!G40+BS!H49-BS!G49</f>
        <v>11.256613198496524</v>
      </c>
      <c r="I32" s="59">
        <f>BS!I40-BS!H40+BS!I49-BS!H49</f>
        <v>11.814828990031515</v>
      </c>
      <c r="J32" s="59">
        <f>BS!J40-BS!I40+BS!J49-BS!I49</f>
        <v>9.4010104165766961</v>
      </c>
      <c r="K32" s="59">
        <f>BS!K40-BS!J40+BS!K49-BS!J49</f>
        <v>6.2630919841742809</v>
      </c>
      <c r="L32" s="59">
        <f>BS!L40-BS!K40+BS!L49-BS!K49</f>
        <v>17.499420143770948</v>
      </c>
    </row>
    <row r="33" spans="2:12" outlineLevel="1" x14ac:dyDescent="0.25">
      <c r="C33" s="27" t="s">
        <v>36</v>
      </c>
      <c r="D33" s="42" t="s">
        <v>47</v>
      </c>
      <c r="E33" s="38">
        <f t="shared" ref="E33:L33" si="1">E8+E10+E12+E13+E14+E15+E16+E17+E19+SUM(E22:E32)</f>
        <v>887.69900000000007</v>
      </c>
      <c r="F33" s="38">
        <f t="shared" si="1"/>
        <v>1717.7529999999995</v>
      </c>
      <c r="G33" s="38">
        <f t="shared" si="1"/>
        <v>1928.5329999999999</v>
      </c>
      <c r="H33" s="38">
        <f t="shared" si="1"/>
        <v>1864.2780160058833</v>
      </c>
      <c r="I33" s="38">
        <f t="shared" si="1"/>
        <v>2041.8414722810414</v>
      </c>
      <c r="J33" s="38">
        <f t="shared" si="1"/>
        <v>2292.0265710518488</v>
      </c>
      <c r="K33" s="38">
        <f t="shared" si="1"/>
        <v>2565.2471330264207</v>
      </c>
      <c r="L33" s="38">
        <f t="shared" si="1"/>
        <v>2824.6843184312379</v>
      </c>
    </row>
    <row r="34" spans="2:12" x14ac:dyDescent="0.25">
      <c r="C34" s="2"/>
      <c r="E34" s="59"/>
      <c r="F34" s="59"/>
      <c r="G34" s="59"/>
      <c r="H34" s="59"/>
      <c r="I34" s="59"/>
      <c r="J34" s="59"/>
      <c r="K34" s="59"/>
      <c r="L34" s="59"/>
    </row>
    <row r="35" spans="2:12" x14ac:dyDescent="0.25">
      <c r="B35" s="14" t="s">
        <v>37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</row>
    <row r="36" spans="2:12" outlineLevel="1" x14ac:dyDescent="0.25">
      <c r="C36" s="49" t="s">
        <v>91</v>
      </c>
      <c r="D36" s="15" t="s">
        <v>47</v>
      </c>
      <c r="E36" s="18">
        <v>2252.355</v>
      </c>
      <c r="F36" s="18">
        <v>2029.7370000000001</v>
      </c>
      <c r="G36" s="18">
        <v>1377.915</v>
      </c>
      <c r="H36" s="18">
        <v>0</v>
      </c>
      <c r="I36" s="41">
        <f t="shared" ref="I36:L39" si="2">H36</f>
        <v>0</v>
      </c>
      <c r="J36" s="41">
        <f t="shared" si="2"/>
        <v>0</v>
      </c>
      <c r="K36" s="41">
        <f t="shared" si="2"/>
        <v>0</v>
      </c>
      <c r="L36" s="41">
        <f t="shared" si="2"/>
        <v>0</v>
      </c>
    </row>
    <row r="37" spans="2:12" outlineLevel="1" x14ac:dyDescent="0.25">
      <c r="C37" s="49" t="s">
        <v>90</v>
      </c>
      <c r="D37" s="15" t="s">
        <v>47</v>
      </c>
      <c r="E37" s="18">
        <v>-1847.067</v>
      </c>
      <c r="F37" s="18">
        <v>-1620.7180000000001</v>
      </c>
      <c r="G37" s="18">
        <v>-342.12099999999998</v>
      </c>
      <c r="H37" s="18">
        <v>-200</v>
      </c>
      <c r="I37" s="41">
        <f t="shared" si="2"/>
        <v>-200</v>
      </c>
      <c r="J37" s="41">
        <f t="shared" si="2"/>
        <v>-200</v>
      </c>
      <c r="K37" s="41">
        <f t="shared" si="2"/>
        <v>-200</v>
      </c>
      <c r="L37" s="41">
        <f t="shared" si="2"/>
        <v>-200</v>
      </c>
    </row>
    <row r="38" spans="2:12" outlineLevel="1" x14ac:dyDescent="0.25">
      <c r="C38" s="49" t="s">
        <v>89</v>
      </c>
      <c r="D38" s="15" t="s">
        <v>47</v>
      </c>
      <c r="E38" s="18">
        <v>0</v>
      </c>
      <c r="F38" s="18">
        <v>-363.38499999999999</v>
      </c>
      <c r="G38" s="18">
        <v>0</v>
      </c>
      <c r="H38" s="18">
        <v>0</v>
      </c>
      <c r="I38" s="41">
        <f t="shared" si="2"/>
        <v>0</v>
      </c>
      <c r="J38" s="41">
        <f t="shared" si="2"/>
        <v>0</v>
      </c>
      <c r="K38" s="41">
        <f t="shared" si="2"/>
        <v>0</v>
      </c>
      <c r="L38" s="41">
        <f t="shared" si="2"/>
        <v>0</v>
      </c>
    </row>
    <row r="39" spans="2:12" outlineLevel="1" x14ac:dyDescent="0.25">
      <c r="C39" s="49" t="s">
        <v>88</v>
      </c>
      <c r="D39" s="15" t="s">
        <v>47</v>
      </c>
      <c r="E39" s="18">
        <v>-329.47199999999998</v>
      </c>
      <c r="F39" s="18">
        <v>0</v>
      </c>
      <c r="G39" s="18">
        <v>0</v>
      </c>
      <c r="H39" s="18">
        <v>0</v>
      </c>
      <c r="I39" s="41">
        <f t="shared" si="2"/>
        <v>0</v>
      </c>
      <c r="J39" s="41">
        <f t="shared" si="2"/>
        <v>0</v>
      </c>
      <c r="K39" s="41">
        <f t="shared" si="2"/>
        <v>0</v>
      </c>
      <c r="L39" s="41">
        <f t="shared" si="2"/>
        <v>0</v>
      </c>
    </row>
    <row r="40" spans="2:12" outlineLevel="1" x14ac:dyDescent="0.25">
      <c r="C40" s="49" t="s">
        <v>87</v>
      </c>
      <c r="D40" s="15" t="s">
        <v>47</v>
      </c>
      <c r="E40" s="18">
        <v>-188.726</v>
      </c>
      <c r="F40" s="18">
        <v>-221.428</v>
      </c>
      <c r="G40" s="18">
        <v>-264.07400000000001</v>
      </c>
      <c r="H40" s="41">
        <f>-H41*IS!H$8</f>
        <v>-300.49387761435423</v>
      </c>
      <c r="I40" s="41">
        <f>-I41*IS!I$8</f>
        <v>-348.97560557671051</v>
      </c>
      <c r="J40" s="41">
        <f>-J41*IS!J$8</f>
        <v>-402.63936327323046</v>
      </c>
      <c r="K40" s="41">
        <f>-K41*IS!K$8</f>
        <v>-461.2881702752382</v>
      </c>
      <c r="L40" s="41">
        <f>-L41*IS!L$8</f>
        <v>-528.23672776606463</v>
      </c>
    </row>
    <row r="41" spans="2:12" outlineLevel="1" x14ac:dyDescent="0.25">
      <c r="C41" s="66" t="s">
        <v>110</v>
      </c>
      <c r="D41" s="15" t="s">
        <v>44</v>
      </c>
      <c r="E41" s="68">
        <f>-E40/IS!E$8</f>
        <v>2.9904057169567663E-2</v>
      </c>
      <c r="F41" s="68">
        <f>-F40/IS!F$8</f>
        <v>3.1012207656917822E-2</v>
      </c>
      <c r="G41" s="68">
        <f>-G40/IS!G$8</f>
        <v>3.5244128658940312E-2</v>
      </c>
      <c r="H41" s="67">
        <v>3.5999999999999997E-2</v>
      </c>
      <c r="I41" s="67">
        <v>3.6999999999999998E-2</v>
      </c>
      <c r="J41" s="67">
        <v>3.7999999999999999E-2</v>
      </c>
      <c r="K41" s="67">
        <v>3.9E-2</v>
      </c>
      <c r="L41" s="67">
        <v>0.04</v>
      </c>
    </row>
    <row r="42" spans="2:12" outlineLevel="1" x14ac:dyDescent="0.25">
      <c r="C42" s="49" t="s">
        <v>86</v>
      </c>
      <c r="D42" s="15" t="s">
        <v>47</v>
      </c>
      <c r="E42" s="18">
        <v>1.3129999999999999</v>
      </c>
      <c r="F42" s="18">
        <v>2.52</v>
      </c>
      <c r="G42" s="18">
        <v>2.7320000000000002</v>
      </c>
      <c r="H42" s="18">
        <v>0</v>
      </c>
      <c r="I42" s="41">
        <f>H42</f>
        <v>0</v>
      </c>
      <c r="J42" s="41">
        <f>I42</f>
        <v>0</v>
      </c>
      <c r="K42" s="41">
        <f>J42</f>
        <v>0</v>
      </c>
      <c r="L42" s="41">
        <f>K42</f>
        <v>0</v>
      </c>
    </row>
    <row r="43" spans="2:12" outlineLevel="1" x14ac:dyDescent="0.25">
      <c r="C43" s="49" t="s">
        <v>85</v>
      </c>
      <c r="D43" s="15" t="s">
        <v>47</v>
      </c>
      <c r="E43" s="18">
        <v>-23.427</v>
      </c>
      <c r="F43" s="18">
        <v>-13.295999999999999</v>
      </c>
      <c r="G43" s="18">
        <v>-42.36</v>
      </c>
      <c r="H43" s="41">
        <f>-H44*IS!H$8</f>
        <v>-31.239494810172861</v>
      </c>
      <c r="I43" s="41">
        <f>-I44*IS!I$8</f>
        <v>-35.299147776165846</v>
      </c>
      <c r="J43" s="41">
        <f>-J44*IS!J$8</f>
        <v>-39.655507194687701</v>
      </c>
      <c r="K43" s="41">
        <f>-K44*IS!K$8</f>
        <v>-44.266846552890364</v>
      </c>
      <c r="L43" s="41">
        <f>-L44*IS!L$8</f>
        <v>-49.424180558819337</v>
      </c>
    </row>
    <row r="44" spans="2:12" outlineLevel="1" x14ac:dyDescent="0.25">
      <c r="C44" s="66" t="s">
        <v>110</v>
      </c>
      <c r="D44" s="15" t="s">
        <v>44</v>
      </c>
      <c r="E44" s="68">
        <f>-E43/IS!E$8</f>
        <v>3.7120605921360152E-3</v>
      </c>
      <c r="F44" s="68">
        <f>-F43/IS!F$8</f>
        <v>1.8621778321006347E-3</v>
      </c>
      <c r="G44" s="68">
        <f>-G43/IS!G$8</f>
        <v>5.6534959518646727E-3</v>
      </c>
      <c r="H44" s="68">
        <f>AVERAGE(E44:G44)</f>
        <v>3.7425781253671076E-3</v>
      </c>
      <c r="I44" s="68">
        <f t="shared" ref="I44:L45" si="3">H44</f>
        <v>3.7425781253671076E-3</v>
      </c>
      <c r="J44" s="68">
        <f t="shared" si="3"/>
        <v>3.7425781253671076E-3</v>
      </c>
      <c r="K44" s="68">
        <f t="shared" si="3"/>
        <v>3.7425781253671076E-3</v>
      </c>
      <c r="L44" s="68">
        <f t="shared" si="3"/>
        <v>3.7425781253671076E-3</v>
      </c>
    </row>
    <row r="45" spans="2:12" outlineLevel="1" x14ac:dyDescent="0.25">
      <c r="C45" s="49" t="s">
        <v>84</v>
      </c>
      <c r="D45" s="33" t="s">
        <v>47</v>
      </c>
      <c r="E45" s="18">
        <v>-26.343</v>
      </c>
      <c r="F45" s="18">
        <v>-6.8250000000000002</v>
      </c>
      <c r="G45" s="18">
        <v>1.635</v>
      </c>
      <c r="H45" s="18">
        <v>-25</v>
      </c>
      <c r="I45" s="41">
        <f t="shared" si="3"/>
        <v>-25</v>
      </c>
      <c r="J45" s="41">
        <f t="shared" si="3"/>
        <v>-25</v>
      </c>
      <c r="K45" s="41">
        <f t="shared" si="3"/>
        <v>-25</v>
      </c>
      <c r="L45" s="41">
        <f t="shared" si="3"/>
        <v>-25</v>
      </c>
    </row>
    <row r="46" spans="2:12" outlineLevel="1" x14ac:dyDescent="0.25">
      <c r="C46" s="27" t="s">
        <v>38</v>
      </c>
      <c r="D46" s="15" t="s">
        <v>47</v>
      </c>
      <c r="E46" s="38">
        <f t="shared" ref="E46:L46" si="4">E36+E37+E38+E39+E40+E42+E43+E45</f>
        <v>-161.36699999999996</v>
      </c>
      <c r="F46" s="38">
        <f t="shared" si="4"/>
        <v>-193.39499999999995</v>
      </c>
      <c r="G46" s="38">
        <f t="shared" si="4"/>
        <v>733.72699999999975</v>
      </c>
      <c r="H46" s="38">
        <f t="shared" si="4"/>
        <v>-556.73337242452715</v>
      </c>
      <c r="I46" s="38">
        <f t="shared" si="4"/>
        <v>-609.27475335287625</v>
      </c>
      <c r="J46" s="38">
        <f t="shared" si="4"/>
        <v>-667.29487046791814</v>
      </c>
      <c r="K46" s="38">
        <f t="shared" si="4"/>
        <v>-730.55501682812849</v>
      </c>
      <c r="L46" s="38">
        <f t="shared" si="4"/>
        <v>-802.66090832488396</v>
      </c>
    </row>
    <row r="47" spans="2:12" x14ac:dyDescent="0.25">
      <c r="C47" s="2"/>
      <c r="E47" s="59"/>
      <c r="F47" s="59"/>
      <c r="G47" s="59"/>
      <c r="H47" s="59"/>
      <c r="I47" s="59"/>
      <c r="J47" s="59"/>
      <c r="K47" s="59"/>
      <c r="L47" s="59"/>
    </row>
    <row r="48" spans="2:12" x14ac:dyDescent="0.25">
      <c r="B48" s="14" t="s">
        <v>39</v>
      </c>
      <c r="C48" s="14"/>
      <c r="D48" s="14"/>
      <c r="E48" s="14"/>
      <c r="F48" s="14"/>
      <c r="G48" s="14"/>
      <c r="H48" s="14"/>
      <c r="I48" s="14"/>
      <c r="J48" s="14"/>
      <c r="K48" s="14"/>
      <c r="L48" s="14"/>
    </row>
    <row r="49" spans="3:12" outlineLevel="1" x14ac:dyDescent="0.25">
      <c r="C49" s="49" t="s">
        <v>92</v>
      </c>
      <c r="D49" s="15" t="s">
        <v>47</v>
      </c>
      <c r="E49" s="18">
        <v>7.4999999999999997E-2</v>
      </c>
      <c r="F49" s="18">
        <v>-13.914</v>
      </c>
      <c r="G49" s="18">
        <v>-8.2230000000000008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</row>
    <row r="50" spans="3:12" outlineLevel="1" x14ac:dyDescent="0.25">
      <c r="C50" s="49" t="s">
        <v>93</v>
      </c>
      <c r="D50" s="15" t="s">
        <v>47</v>
      </c>
      <c r="E50" s="18">
        <v>0</v>
      </c>
      <c r="F50" s="18">
        <v>0</v>
      </c>
      <c r="G50" s="18">
        <v>750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</row>
    <row r="51" spans="3:12" outlineLevel="1" x14ac:dyDescent="0.25">
      <c r="C51" s="49" t="s">
        <v>94</v>
      </c>
      <c r="D51" s="15" t="s">
        <v>47</v>
      </c>
      <c r="E51" s="18">
        <v>0</v>
      </c>
      <c r="F51" s="18">
        <v>0</v>
      </c>
      <c r="G51" s="18">
        <v>-375</v>
      </c>
      <c r="H51" s="18">
        <v>-100</v>
      </c>
      <c r="I51" s="18">
        <v>0</v>
      </c>
      <c r="J51" s="18">
        <v>0</v>
      </c>
      <c r="K51" s="18">
        <v>-100</v>
      </c>
      <c r="L51" s="18">
        <v>0</v>
      </c>
    </row>
    <row r="52" spans="3:12" outlineLevel="1" x14ac:dyDescent="0.25">
      <c r="C52" s="49" t="s">
        <v>95</v>
      </c>
      <c r="D52" s="15" t="s">
        <v>47</v>
      </c>
      <c r="E52" s="18">
        <v>0</v>
      </c>
      <c r="F52" s="18">
        <v>0</v>
      </c>
      <c r="G52" s="18">
        <v>-2.9039999999999999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</row>
    <row r="53" spans="3:12" outlineLevel="1" x14ac:dyDescent="0.25">
      <c r="C53" s="49" t="s">
        <v>96</v>
      </c>
      <c r="D53" s="15" t="s">
        <v>47</v>
      </c>
      <c r="E53" s="18">
        <v>64.015000000000001</v>
      </c>
      <c r="F53" s="18">
        <v>130.267</v>
      </c>
      <c r="G53" s="18">
        <v>78.972999999999999</v>
      </c>
      <c r="H53" s="18">
        <v>75</v>
      </c>
      <c r="I53" s="18">
        <v>100</v>
      </c>
      <c r="J53" s="18">
        <v>125</v>
      </c>
      <c r="K53" s="18">
        <v>150</v>
      </c>
      <c r="L53" s="18">
        <v>150</v>
      </c>
    </row>
    <row r="54" spans="3:12" outlineLevel="1" x14ac:dyDescent="0.25">
      <c r="C54" s="49" t="s">
        <v>97</v>
      </c>
      <c r="D54" s="15" t="s">
        <v>47</v>
      </c>
      <c r="E54" s="18">
        <v>-771.02800000000002</v>
      </c>
      <c r="F54" s="18">
        <v>-658.952</v>
      </c>
      <c r="G54" s="18">
        <v>-3771.875</v>
      </c>
      <c r="H54" s="18">
        <v>-1000</v>
      </c>
      <c r="I54" s="18">
        <v>-1250</v>
      </c>
      <c r="J54" s="18">
        <v>-1500</v>
      </c>
      <c r="K54" s="18">
        <v>-1750</v>
      </c>
      <c r="L54" s="18">
        <v>-2000</v>
      </c>
    </row>
    <row r="55" spans="3:12" outlineLevel="1" x14ac:dyDescent="0.25">
      <c r="C55" s="27" t="s">
        <v>40</v>
      </c>
      <c r="D55" s="42" t="s">
        <v>47</v>
      </c>
      <c r="E55" s="38">
        <f t="shared" ref="E55:L55" si="5">SUM(E49:E54)</f>
        <v>-706.93799999999999</v>
      </c>
      <c r="F55" s="38">
        <f t="shared" si="5"/>
        <v>-542.59900000000005</v>
      </c>
      <c r="G55" s="38">
        <f t="shared" si="5"/>
        <v>-3329.029</v>
      </c>
      <c r="H55" s="38">
        <f t="shared" si="5"/>
        <v>-1025</v>
      </c>
      <c r="I55" s="38">
        <f t="shared" si="5"/>
        <v>-1150</v>
      </c>
      <c r="J55" s="38">
        <f t="shared" si="5"/>
        <v>-1375</v>
      </c>
      <c r="K55" s="38">
        <f t="shared" si="5"/>
        <v>-1700</v>
      </c>
      <c r="L55" s="38">
        <f t="shared" si="5"/>
        <v>-1850</v>
      </c>
    </row>
    <row r="56" spans="3:12" outlineLevel="1" x14ac:dyDescent="0.25">
      <c r="C56" s="2"/>
      <c r="E56" s="59"/>
      <c r="F56" s="59"/>
      <c r="G56" s="59"/>
      <c r="H56" s="59"/>
      <c r="I56" s="59"/>
      <c r="J56" s="59"/>
      <c r="K56" s="59"/>
      <c r="L56" s="59"/>
    </row>
    <row r="57" spans="3:12" outlineLevel="1" x14ac:dyDescent="0.25">
      <c r="C57" s="51" t="s">
        <v>50</v>
      </c>
      <c r="D57" s="15" t="s">
        <v>47</v>
      </c>
      <c r="E57" s="18">
        <v>-38.715000000000003</v>
      </c>
      <c r="F57" s="18">
        <v>8.7750000000000004</v>
      </c>
      <c r="G57" s="18">
        <v>-97.619</v>
      </c>
      <c r="H57" s="41">
        <f>AVERAGE(E57:G57)</f>
        <v>-42.519666666666666</v>
      </c>
      <c r="I57" s="59">
        <f>H57</f>
        <v>-42.519666666666666</v>
      </c>
      <c r="J57" s="59">
        <f>I57</f>
        <v>-42.519666666666666</v>
      </c>
      <c r="K57" s="59">
        <f>J57</f>
        <v>-42.519666666666666</v>
      </c>
      <c r="L57" s="59">
        <f>K57</f>
        <v>-42.519666666666666</v>
      </c>
    </row>
    <row r="58" spans="3:12" outlineLevel="1" x14ac:dyDescent="0.25">
      <c r="C58" s="51"/>
      <c r="E58" s="59"/>
      <c r="F58" s="59"/>
      <c r="G58" s="59"/>
      <c r="H58" s="59"/>
      <c r="I58" s="59"/>
      <c r="J58" s="59"/>
      <c r="K58" s="59"/>
      <c r="L58" s="59"/>
    </row>
    <row r="59" spans="3:12" outlineLevel="1" x14ac:dyDescent="0.25">
      <c r="C59" s="52" t="s">
        <v>41</v>
      </c>
      <c r="D59" s="15" t="s">
        <v>47</v>
      </c>
      <c r="E59" s="18">
        <v>1326.462</v>
      </c>
      <c r="F59" s="41">
        <f t="shared" ref="F59:L59" si="6">E61</f>
        <v>1307.1410000000001</v>
      </c>
      <c r="G59" s="41">
        <f t="shared" si="6"/>
        <v>2297.6749999999993</v>
      </c>
      <c r="H59" s="41">
        <f t="shared" si="6"/>
        <v>1533.2869999999989</v>
      </c>
      <c r="I59" s="41">
        <f t="shared" si="6"/>
        <v>1773.3119769146883</v>
      </c>
      <c r="J59" s="41">
        <f t="shared" si="6"/>
        <v>2013.3590291761871</v>
      </c>
      <c r="K59" s="41">
        <f t="shared" si="6"/>
        <v>2220.5710630934509</v>
      </c>
      <c r="L59" s="41">
        <f t="shared" si="6"/>
        <v>2312.7435126250766</v>
      </c>
    </row>
    <row r="60" spans="3:12" outlineLevel="1" x14ac:dyDescent="0.25">
      <c r="C60" s="49" t="s">
        <v>61</v>
      </c>
      <c r="D60" s="15" t="s">
        <v>47</v>
      </c>
      <c r="E60" s="41">
        <f t="shared" ref="E60:L60" si="7">E33+E46+E55+E57</f>
        <v>-19.320999999999884</v>
      </c>
      <c r="F60" s="41">
        <f t="shared" si="7"/>
        <v>990.53399999999942</v>
      </c>
      <c r="G60" s="41">
        <f t="shared" si="7"/>
        <v>-764.38800000000026</v>
      </c>
      <c r="H60" s="41">
        <f t="shared" si="7"/>
        <v>240.02497691468935</v>
      </c>
      <c r="I60" s="41">
        <f t="shared" si="7"/>
        <v>240.04705226149864</v>
      </c>
      <c r="J60" s="41">
        <f t="shared" si="7"/>
        <v>207.21203391726399</v>
      </c>
      <c r="K60" s="41">
        <f t="shared" si="7"/>
        <v>92.172449531625631</v>
      </c>
      <c r="L60" s="41">
        <f t="shared" si="7"/>
        <v>129.50374343968716</v>
      </c>
    </row>
    <row r="61" spans="3:12" outlineLevel="1" x14ac:dyDescent="0.25">
      <c r="C61" s="27" t="s">
        <v>42</v>
      </c>
      <c r="D61" s="42" t="s">
        <v>47</v>
      </c>
      <c r="E61" s="39">
        <f t="shared" ref="E61:L61" si="8">SUM(E59:E60)</f>
        <v>1307.1410000000001</v>
      </c>
      <c r="F61" s="39">
        <f t="shared" si="8"/>
        <v>2297.6749999999993</v>
      </c>
      <c r="G61" s="39">
        <f t="shared" si="8"/>
        <v>1533.2869999999989</v>
      </c>
      <c r="H61" s="39">
        <f t="shared" si="8"/>
        <v>1773.3119769146883</v>
      </c>
      <c r="I61" s="39">
        <f t="shared" si="8"/>
        <v>2013.3590291761871</v>
      </c>
      <c r="J61" s="39">
        <f t="shared" si="8"/>
        <v>2220.5710630934509</v>
      </c>
      <c r="K61" s="39">
        <f t="shared" si="8"/>
        <v>2312.7435126250766</v>
      </c>
      <c r="L61" s="39">
        <f t="shared" si="8"/>
        <v>2442.2472560647639</v>
      </c>
    </row>
  </sheetData>
  <pageMargins left="0.7" right="0.7" top="0.75" bottom="0.75" header="0.3" footer="0.3"/>
  <pageSetup scale="49" orientation="portrait" horizontalDpi="200" verticalDpi="200" r:id="rId1"/>
  <ignoredErrors>
    <ignoredError sqref="H17:L19 I43:L4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MNST</vt:lpstr>
      <vt:lpstr>IS</vt:lpstr>
      <vt:lpstr>BS</vt:lpstr>
      <vt:lpstr>CFS</vt:lpstr>
      <vt:lpstr>Company_Name</vt:lpstr>
      <vt:lpstr>Hist_Yr</vt:lpstr>
      <vt:lpstr>BS!Print_Area</vt:lpstr>
      <vt:lpstr>CFS!Print_Area</vt:lpstr>
      <vt:lpstr>IS!Print_Area</vt:lpstr>
      <vt:lpstr>MNST!Print_Area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dcterms:created xsi:type="dcterms:W3CDTF">2016-08-02T00:46:07Z</dcterms:created>
  <dcterms:modified xsi:type="dcterms:W3CDTF">2025-06-18T00:25:12Z</dcterms:modified>
</cp:coreProperties>
</file>