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dech\BIWS Dropbox\Brian DeChesare\BIWS-All-Courses\100-Bonus-Case-Studies\101-Three-Statement-Modeling\101-11-Financial-Modeling-Best-Practices\"/>
    </mc:Choice>
  </mc:AlternateContent>
  <xr:revisionPtr revIDLastSave="0" documentId="13_ncr:1_{1C52118A-2962-421D-A40B-DD3A1A7BDB2C}" xr6:coauthVersionLast="47" xr6:coauthVersionMax="47" xr10:uidLastSave="{00000000-0000-0000-0000-000000000000}"/>
  <bookViews>
    <workbookView xWindow="-69" yWindow="-69" windowWidth="33052" windowHeight="17932" xr2:uid="{00000000-000D-0000-FFFF-FFFF00000000}"/>
  </bookViews>
  <sheets>
    <sheet name="MNST" sheetId="1" r:id="rId1"/>
  </sheets>
  <definedNames>
    <definedName name="Company_Name">MNST!$D$7</definedName>
    <definedName name="Hist_Yr">MNST!$D$9</definedName>
    <definedName name="_xlnm.Print_Area" localSheetId="0">MNST!$A$1:$M$153</definedName>
  </definedNames>
  <calcPr calcId="191029" calcMode="autoNoTable" iterate="1" calcOnSave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" l="1"/>
  <c r="D124" i="1"/>
  <c r="H123" i="1"/>
  <c r="E123" i="1"/>
  <c r="D85" i="1"/>
  <c r="H84" i="1"/>
  <c r="E84" i="1"/>
  <c r="L64" i="1"/>
  <c r="L90" i="1" s="1"/>
  <c r="K64" i="1"/>
  <c r="K90" i="1" s="1"/>
  <c r="J64" i="1"/>
  <c r="J90" i="1" s="1"/>
  <c r="I64" i="1"/>
  <c r="I90" i="1" s="1"/>
  <c r="H64" i="1"/>
  <c r="H90" i="1" s="1"/>
  <c r="D62" i="1"/>
  <c r="H61" i="1"/>
  <c r="E61" i="1"/>
  <c r="G29" i="1"/>
  <c r="G16" i="1"/>
  <c r="F16" i="1"/>
  <c r="E16" i="1"/>
  <c r="G28" i="1"/>
  <c r="F28" i="1"/>
  <c r="E82" i="1"/>
  <c r="E126" i="1" s="1"/>
  <c r="J112" i="1"/>
  <c r="K112" i="1" s="1"/>
  <c r="L112" i="1" s="1"/>
  <c r="I112" i="1"/>
  <c r="H112" i="1"/>
  <c r="L145" i="1"/>
  <c r="K145" i="1"/>
  <c r="J145" i="1"/>
  <c r="I145" i="1"/>
  <c r="H145" i="1"/>
  <c r="L144" i="1"/>
  <c r="K144" i="1"/>
  <c r="J144" i="1"/>
  <c r="I144" i="1"/>
  <c r="H144" i="1"/>
  <c r="L143" i="1"/>
  <c r="K143" i="1"/>
  <c r="J143" i="1"/>
  <c r="I143" i="1"/>
  <c r="H143" i="1"/>
  <c r="G59" i="1"/>
  <c r="F59" i="1"/>
  <c r="E59" i="1"/>
  <c r="G58" i="1"/>
  <c r="F58" i="1"/>
  <c r="E58" i="1"/>
  <c r="F57" i="1"/>
  <c r="G57" i="1"/>
  <c r="E57" i="1"/>
  <c r="L146" i="1" l="1"/>
  <c r="K146" i="1"/>
  <c r="J146" i="1"/>
  <c r="I146" i="1"/>
  <c r="H146" i="1"/>
  <c r="G146" i="1"/>
  <c r="F146" i="1"/>
  <c r="E146" i="1"/>
  <c r="H137" i="1"/>
  <c r="I52" i="1"/>
  <c r="I137" i="1" s="1"/>
  <c r="F52" i="1"/>
  <c r="G52" i="1"/>
  <c r="E52" i="1"/>
  <c r="F140" i="1"/>
  <c r="G140" i="1"/>
  <c r="E140" i="1"/>
  <c r="G55" i="1"/>
  <c r="F55" i="1"/>
  <c r="E55" i="1"/>
  <c r="H136" i="1"/>
  <c r="H89" i="1" s="1"/>
  <c r="G54" i="1"/>
  <c r="F54" i="1"/>
  <c r="E54" i="1"/>
  <c r="F51" i="1"/>
  <c r="G51" i="1"/>
  <c r="E51" i="1"/>
  <c r="I49" i="1"/>
  <c r="J49" i="1" s="1"/>
  <c r="K49" i="1" s="1"/>
  <c r="L49" i="1" s="1"/>
  <c r="F49" i="1"/>
  <c r="G49" i="1"/>
  <c r="E49" i="1"/>
  <c r="G47" i="1"/>
  <c r="F47" i="1"/>
  <c r="E47" i="1"/>
  <c r="G46" i="1"/>
  <c r="F46" i="1"/>
  <c r="E46" i="1"/>
  <c r="F45" i="1"/>
  <c r="G45" i="1"/>
  <c r="E45" i="1"/>
  <c r="F113" i="1"/>
  <c r="G113" i="1"/>
  <c r="E113" i="1"/>
  <c r="F42" i="1"/>
  <c r="G42" i="1"/>
  <c r="E42" i="1"/>
  <c r="F41" i="1"/>
  <c r="G41" i="1"/>
  <c r="E41" i="1"/>
  <c r="F39" i="1"/>
  <c r="G39" i="1"/>
  <c r="E39" i="1"/>
  <c r="G107" i="1"/>
  <c r="F107" i="1"/>
  <c r="E107" i="1"/>
  <c r="G38" i="1"/>
  <c r="F38" i="1"/>
  <c r="E38" i="1"/>
  <c r="H77" i="1"/>
  <c r="G99" i="1"/>
  <c r="F99" i="1"/>
  <c r="E99" i="1"/>
  <c r="G36" i="1"/>
  <c r="F36" i="1"/>
  <c r="E36" i="1"/>
  <c r="G93" i="1"/>
  <c r="F93" i="1"/>
  <c r="E93" i="1"/>
  <c r="G35" i="1"/>
  <c r="F35" i="1"/>
  <c r="E35" i="1"/>
  <c r="G34" i="1"/>
  <c r="F34" i="1"/>
  <c r="E34" i="1"/>
  <c r="H78" i="1"/>
  <c r="G26" i="1"/>
  <c r="F26" i="1"/>
  <c r="E26" i="1"/>
  <c r="G25" i="1"/>
  <c r="F25" i="1"/>
  <c r="E25" i="1"/>
  <c r="G69" i="1"/>
  <c r="G74" i="1" s="1"/>
  <c r="G75" i="1" s="1"/>
  <c r="F69" i="1"/>
  <c r="F74" i="1" s="1"/>
  <c r="F75" i="1" s="1"/>
  <c r="E69" i="1"/>
  <c r="E74" i="1" s="1"/>
  <c r="E75" i="1" s="1"/>
  <c r="J52" i="1" l="1"/>
  <c r="K52" i="1" s="1"/>
  <c r="L52" i="1" s="1"/>
  <c r="L137" i="1" s="1"/>
  <c r="H34" i="1"/>
  <c r="I34" i="1" s="1"/>
  <c r="J34" i="1" s="1"/>
  <c r="K34" i="1" s="1"/>
  <c r="L34" i="1" s="1"/>
  <c r="F70" i="1"/>
  <c r="G70" i="1"/>
  <c r="E70" i="1"/>
  <c r="I17" i="1"/>
  <c r="J17" i="1"/>
  <c r="K17" i="1"/>
  <c r="L17" i="1"/>
  <c r="I51" i="1"/>
  <c r="I136" i="1" s="1"/>
  <c r="H148" i="1"/>
  <c r="I148" i="1" s="1"/>
  <c r="J148" i="1" s="1"/>
  <c r="K137" i="1" l="1"/>
  <c r="J137" i="1"/>
  <c r="I89" i="1"/>
  <c r="J51" i="1"/>
  <c r="J136" i="1" s="1"/>
  <c r="E115" i="1"/>
  <c r="E119" i="1" s="1"/>
  <c r="H45" i="1"/>
  <c r="I78" i="1"/>
  <c r="F115" i="1"/>
  <c r="F119" i="1" s="1"/>
  <c r="H46" i="1"/>
  <c r="H38" i="1"/>
  <c r="G101" i="1"/>
  <c r="K148" i="1"/>
  <c r="L148" i="1" s="1"/>
  <c r="F101" i="1"/>
  <c r="H47" i="1"/>
  <c r="E101" i="1"/>
  <c r="H55" i="1"/>
  <c r="G115" i="1"/>
  <c r="G119" i="1" s="1"/>
  <c r="F65" i="1"/>
  <c r="G65" i="1"/>
  <c r="J89" i="1" l="1"/>
  <c r="I55" i="1"/>
  <c r="K51" i="1"/>
  <c r="K136" i="1" s="1"/>
  <c r="I47" i="1"/>
  <c r="J47" i="1" s="1"/>
  <c r="I46" i="1"/>
  <c r="I45" i="1"/>
  <c r="I38" i="1"/>
  <c r="F121" i="1"/>
  <c r="J78" i="1"/>
  <c r="E121" i="1"/>
  <c r="G121" i="1"/>
  <c r="J55" i="1"/>
  <c r="J45" i="1"/>
  <c r="G80" i="1"/>
  <c r="G82" i="1" s="1"/>
  <c r="G126" i="1" s="1"/>
  <c r="E80" i="1"/>
  <c r="F80" i="1"/>
  <c r="F82" i="1" s="1"/>
  <c r="F126" i="1" s="1"/>
  <c r="K89" i="1" l="1"/>
  <c r="L51" i="1"/>
  <c r="L136" i="1" s="1"/>
  <c r="J46" i="1"/>
  <c r="J38" i="1"/>
  <c r="G31" i="1"/>
  <c r="F31" i="1"/>
  <c r="E31" i="1"/>
  <c r="K78" i="1"/>
  <c r="K47" i="1"/>
  <c r="K45" i="1"/>
  <c r="K55" i="1"/>
  <c r="L89" i="1" l="1"/>
  <c r="F133" i="1"/>
  <c r="F151" i="1" s="1"/>
  <c r="E133" i="1"/>
  <c r="E151" i="1" s="1"/>
  <c r="E152" i="1" s="1"/>
  <c r="F150" i="1" s="1"/>
  <c r="F152" i="1" s="1"/>
  <c r="G150" i="1" s="1"/>
  <c r="G133" i="1"/>
  <c r="G151" i="1" s="1"/>
  <c r="K46" i="1"/>
  <c r="K38" i="1"/>
  <c r="L78" i="1"/>
  <c r="H31" i="1"/>
  <c r="L45" i="1"/>
  <c r="L55" i="1"/>
  <c r="L47" i="1"/>
  <c r="G152" i="1" l="1"/>
  <c r="H150" i="1" s="1"/>
  <c r="L46" i="1"/>
  <c r="L38" i="1"/>
  <c r="I31" i="1"/>
  <c r="J31" i="1" s="1"/>
  <c r="E21" i="1"/>
  <c r="F21" i="1"/>
  <c r="G21" i="1"/>
  <c r="K31" i="1" l="1"/>
  <c r="F17" i="1"/>
  <c r="F22" i="1"/>
  <c r="G22" i="1"/>
  <c r="H21" i="1"/>
  <c r="G17" i="1" l="1"/>
  <c r="H17" i="1"/>
  <c r="L31" i="1"/>
  <c r="H14" i="1"/>
  <c r="H139" i="1" s="1"/>
  <c r="H98" i="1" s="1"/>
  <c r="I21" i="1"/>
  <c r="H129" i="1" l="1"/>
  <c r="H138" i="1"/>
  <c r="H140" i="1" s="1"/>
  <c r="H128" i="1"/>
  <c r="H96" i="1" s="1"/>
  <c r="H130" i="1"/>
  <c r="H72" i="1"/>
  <c r="H111" i="1" s="1"/>
  <c r="H110" i="1"/>
  <c r="H67" i="1"/>
  <c r="H105" i="1" s="1"/>
  <c r="H65" i="1"/>
  <c r="J21" i="1"/>
  <c r="I14" i="1"/>
  <c r="I139" i="1" s="1"/>
  <c r="I98" i="1" s="1"/>
  <c r="I129" i="1" l="1"/>
  <c r="I138" i="1"/>
  <c r="I140" i="1" s="1"/>
  <c r="I128" i="1"/>
  <c r="I96" i="1" s="1"/>
  <c r="I130" i="1"/>
  <c r="H106" i="1"/>
  <c r="H107" i="1" s="1"/>
  <c r="H92" i="1"/>
  <c r="H113" i="1"/>
  <c r="I72" i="1"/>
  <c r="I111" i="1" s="1"/>
  <c r="I110" i="1"/>
  <c r="H69" i="1"/>
  <c r="H74" i="1" s="1"/>
  <c r="H75" i="1" s="1"/>
  <c r="H91" i="1"/>
  <c r="I67" i="1"/>
  <c r="I65" i="1"/>
  <c r="K21" i="1"/>
  <c r="J14" i="1"/>
  <c r="J138" i="1" l="1"/>
  <c r="J139" i="1"/>
  <c r="J98" i="1" s="1"/>
  <c r="I106" i="1"/>
  <c r="H70" i="1"/>
  <c r="I92" i="1"/>
  <c r="J130" i="1"/>
  <c r="J129" i="1"/>
  <c r="J110" i="1"/>
  <c r="J128" i="1"/>
  <c r="J96" i="1" s="1"/>
  <c r="I113" i="1"/>
  <c r="I91" i="1"/>
  <c r="I105" i="1"/>
  <c r="I107" i="1" s="1"/>
  <c r="I69" i="1"/>
  <c r="I74" i="1" s="1"/>
  <c r="I75" i="1" s="1"/>
  <c r="J67" i="1"/>
  <c r="J105" i="1" s="1"/>
  <c r="J72" i="1"/>
  <c r="J111" i="1" s="1"/>
  <c r="H80" i="1"/>
  <c r="J65" i="1"/>
  <c r="L21" i="1"/>
  <c r="L14" i="1" s="1"/>
  <c r="L139" i="1" s="1"/>
  <c r="K14" i="1"/>
  <c r="K139" i="1" s="1"/>
  <c r="K98" i="1" l="1"/>
  <c r="L98" i="1" s="1"/>
  <c r="J140" i="1"/>
  <c r="J113" i="1"/>
  <c r="K129" i="1"/>
  <c r="K138" i="1"/>
  <c r="K140" i="1" s="1"/>
  <c r="L129" i="1"/>
  <c r="L138" i="1"/>
  <c r="L140" i="1" s="1"/>
  <c r="I70" i="1"/>
  <c r="L128" i="1"/>
  <c r="L130" i="1"/>
  <c r="K128" i="1"/>
  <c r="K96" i="1" s="1"/>
  <c r="L96" i="1" s="1"/>
  <c r="K130" i="1"/>
  <c r="K72" i="1"/>
  <c r="K111" i="1" s="1"/>
  <c r="K110" i="1"/>
  <c r="L72" i="1"/>
  <c r="L111" i="1" s="1"/>
  <c r="L110" i="1"/>
  <c r="J92" i="1"/>
  <c r="J106" i="1"/>
  <c r="J107" i="1" s="1"/>
  <c r="J69" i="1"/>
  <c r="J70" i="1" s="1"/>
  <c r="J91" i="1"/>
  <c r="H81" i="1"/>
  <c r="H82" i="1" s="1"/>
  <c r="H126" i="1" s="1"/>
  <c r="L67" i="1"/>
  <c r="K67" i="1"/>
  <c r="K105" i="1" s="1"/>
  <c r="K65" i="1"/>
  <c r="L65" i="1"/>
  <c r="K106" i="1" l="1"/>
  <c r="K92" i="1"/>
  <c r="L92" i="1"/>
  <c r="L106" i="1"/>
  <c r="J74" i="1"/>
  <c r="J75" i="1" s="1"/>
  <c r="H117" i="1"/>
  <c r="H131" i="1"/>
  <c r="H97" i="1" s="1"/>
  <c r="K113" i="1"/>
  <c r="L113" i="1"/>
  <c r="K107" i="1"/>
  <c r="L91" i="1"/>
  <c r="L105" i="1"/>
  <c r="L107" i="1" s="1"/>
  <c r="L69" i="1"/>
  <c r="L70" i="1" s="1"/>
  <c r="K69" i="1"/>
  <c r="K74" i="1" s="1"/>
  <c r="K75" i="1" s="1"/>
  <c r="K91" i="1"/>
  <c r="L74" i="1"/>
  <c r="L75" i="1" s="1"/>
  <c r="H115" i="1"/>
  <c r="H99" i="1" l="1"/>
  <c r="H119" i="1"/>
  <c r="K70" i="1"/>
  <c r="G12" i="1"/>
  <c r="G124" i="1" l="1"/>
  <c r="G85" i="1"/>
  <c r="G62" i="1"/>
  <c r="H12" i="1"/>
  <c r="F12" i="1"/>
  <c r="F124" i="1" l="1"/>
  <c r="F85" i="1"/>
  <c r="F62" i="1"/>
  <c r="H124" i="1"/>
  <c r="H85" i="1"/>
  <c r="H62" i="1"/>
  <c r="I12" i="1"/>
  <c r="E12" i="1"/>
  <c r="E124" i="1" l="1"/>
  <c r="E85" i="1"/>
  <c r="E62" i="1"/>
  <c r="I124" i="1"/>
  <c r="I85" i="1"/>
  <c r="I62" i="1"/>
  <c r="J12" i="1"/>
  <c r="J62" i="1" l="1"/>
  <c r="J124" i="1"/>
  <c r="J85" i="1"/>
  <c r="K12" i="1"/>
  <c r="K124" i="1" l="1"/>
  <c r="K85" i="1"/>
  <c r="K62" i="1"/>
  <c r="L12" i="1"/>
  <c r="L85" i="1" l="1"/>
  <c r="L62" i="1"/>
  <c r="L124" i="1"/>
  <c r="H132" i="1"/>
  <c r="H133" i="1" s="1"/>
  <c r="H151" i="1" s="1"/>
  <c r="H152" i="1" s="1"/>
  <c r="H88" i="1" s="1"/>
  <c r="I77" i="1" s="1"/>
  <c r="H93" i="1" l="1"/>
  <c r="I150" i="1"/>
  <c r="H101" i="1" l="1"/>
  <c r="H121" i="1" s="1"/>
  <c r="I80" i="1"/>
  <c r="I81" i="1" l="1"/>
  <c r="I131" i="1" s="1"/>
  <c r="I97" i="1" s="1"/>
  <c r="I82" i="1" l="1"/>
  <c r="I126" i="1" s="1"/>
  <c r="I99" i="1"/>
  <c r="I117" i="1"/>
  <c r="I115" i="1" l="1"/>
  <c r="I119" i="1" s="1"/>
  <c r="I132" i="1" l="1"/>
  <c r="I133" i="1" s="1"/>
  <c r="I151" i="1" s="1"/>
  <c r="I152" i="1" s="1"/>
  <c r="J150" i="1" l="1"/>
  <c r="I88" i="1"/>
  <c r="J77" i="1" l="1"/>
  <c r="J80" i="1" s="1"/>
  <c r="I93" i="1"/>
  <c r="I101" i="1" s="1"/>
  <c r="I121" i="1" s="1"/>
  <c r="J81" i="1"/>
  <c r="J82" i="1" l="1"/>
  <c r="J126" i="1" s="1"/>
  <c r="J117" i="1"/>
  <c r="J131" i="1"/>
  <c r="J97" i="1" s="1"/>
  <c r="J115" i="1"/>
  <c r="J119" i="1" s="1"/>
  <c r="J99" i="1" l="1"/>
  <c r="L132" i="1" l="1"/>
  <c r="K132" i="1"/>
  <c r="J132" i="1"/>
  <c r="J133" i="1" s="1"/>
  <c r="J151" i="1" s="1"/>
  <c r="J152" i="1" s="1"/>
  <c r="K150" i="1" l="1"/>
  <c r="J88" i="1"/>
  <c r="K77" i="1" l="1"/>
  <c r="K80" i="1" s="1"/>
  <c r="J93" i="1"/>
  <c r="J101" i="1" s="1"/>
  <c r="J121" i="1" s="1"/>
  <c r="K81" i="1"/>
  <c r="K131" i="1" s="1"/>
  <c r="K97" i="1" s="1"/>
  <c r="K82" i="1" l="1"/>
  <c r="K126" i="1" s="1"/>
  <c r="K99" i="1"/>
  <c r="K117" i="1"/>
  <c r="K133" i="1" l="1"/>
  <c r="K115" i="1"/>
  <c r="K119" i="1" s="1"/>
  <c r="K151" i="1"/>
  <c r="K152" i="1" s="1"/>
  <c r="K88" i="1" s="1"/>
  <c r="L77" i="1" s="1"/>
  <c r="K93" i="1" l="1"/>
  <c r="L150" i="1"/>
  <c r="K101" i="1" l="1"/>
  <c r="K121" i="1" s="1"/>
  <c r="L80" i="1"/>
  <c r="L81" i="1" l="1"/>
  <c r="L131" i="1" s="1"/>
  <c r="L97" i="1" s="1"/>
  <c r="L99" i="1" s="1"/>
  <c r="L82" i="1" l="1"/>
  <c r="L126" i="1" s="1"/>
  <c r="L117" i="1"/>
  <c r="L133" i="1" l="1"/>
  <c r="L151" i="1" s="1"/>
  <c r="L152" i="1" s="1"/>
  <c r="L88" i="1" s="1"/>
  <c r="L115" i="1"/>
  <c r="L119" i="1" s="1"/>
  <c r="L93" i="1" l="1"/>
  <c r="L101" i="1" s="1"/>
  <c r="L121" i="1" s="1"/>
</calcChain>
</file>

<file path=xl/sharedStrings.xml><?xml version="1.0" encoding="utf-8"?>
<sst xmlns="http://schemas.openxmlformats.org/spreadsheetml/2006/main" count="204" uniqueCount="116">
  <si>
    <t>General Assumptions:</t>
  </si>
  <si>
    <t>Company Name:</t>
  </si>
  <si>
    <t>Ticker:</t>
  </si>
  <si>
    <t>Last Historical Year:</t>
  </si>
  <si>
    <t>($ in Millions Except Per Share and Per Unit Data)</t>
  </si>
  <si>
    <t>Income Statement:</t>
  </si>
  <si>
    <t>Gross Profit:</t>
  </si>
  <si>
    <t>Net Income:</t>
  </si>
  <si>
    <t>Balance Sheet:</t>
  </si>
  <si>
    <t>Cash &amp; Equivalents:</t>
  </si>
  <si>
    <t>Inventory:</t>
  </si>
  <si>
    <t>Total Current Assets:</t>
  </si>
  <si>
    <t>Total Assets:</t>
  </si>
  <si>
    <t>Accounts Payable:</t>
  </si>
  <si>
    <t>Total Current Liabilities:</t>
  </si>
  <si>
    <t>Total Liabilities:</t>
  </si>
  <si>
    <t>Cash Flow Statement:</t>
  </si>
  <si>
    <t>Gross Margin:</t>
  </si>
  <si>
    <t>Revenue Growth:</t>
  </si>
  <si>
    <t>Total Revenue:</t>
  </si>
  <si>
    <t>Operating Income (EBIT):</t>
  </si>
  <si>
    <t>Operating (EBIT) Margin:</t>
  </si>
  <si>
    <t>Pre-Tax Income:</t>
  </si>
  <si>
    <t>ASSETS:</t>
  </si>
  <si>
    <t>Current Assets:</t>
  </si>
  <si>
    <t>Non-Current Assets:</t>
  </si>
  <si>
    <t>Total Non-Current Assets:</t>
  </si>
  <si>
    <t>LIABILITIES AND EQUITY:</t>
  </si>
  <si>
    <t>Current Liabilities:</t>
  </si>
  <si>
    <t>Non-Current Liabilities:</t>
  </si>
  <si>
    <t>Equity:</t>
  </si>
  <si>
    <t>Balance Check:</t>
  </si>
  <si>
    <t>CASH FLOWS FROM OPERATING ACTIVITIES:</t>
  </si>
  <si>
    <t/>
  </si>
  <si>
    <t>Adjustments for Non-Cash Charges:</t>
  </si>
  <si>
    <t>(+) Stock-Based Compensation:</t>
  </si>
  <si>
    <t>Net Cash Provided by Operating Activities:</t>
  </si>
  <si>
    <t>CASH FLOWS FROM INVESTING ACTIVITIES:</t>
  </si>
  <si>
    <t>Net Cash Used in Investing Activities:</t>
  </si>
  <si>
    <t>CASH FLOWS FROM FINANCING ACTIVITIES:</t>
  </si>
  <si>
    <t>Net Cash Provided by Financing Activities:</t>
  </si>
  <si>
    <t>Beginning Cash:</t>
  </si>
  <si>
    <t>Ending Cash:</t>
  </si>
  <si>
    <t>Units:</t>
  </si>
  <si>
    <t>%</t>
  </si>
  <si>
    <t>Total Liabilities &amp; Equity:</t>
  </si>
  <si>
    <t>Accounts Receivable:</t>
  </si>
  <si>
    <t>(-) Provision For Income Taxes:</t>
  </si>
  <si>
    <t>$ M</t>
  </si>
  <si>
    <t>Net PP&amp;E:</t>
  </si>
  <si>
    <t>FX Rate Effects:</t>
  </si>
  <si>
    <t>Total Non-Current Liabilities:</t>
  </si>
  <si>
    <t>Goodwill &amp; Other Intangible Assets:</t>
  </si>
  <si>
    <t>Deferred Revenue:</t>
  </si>
  <si>
    <t>(+/-) Other Items:</t>
  </si>
  <si>
    <t>Deferred Taxes % Book Taxes:</t>
  </si>
  <si>
    <t>Inventory % Cost of Sales:</t>
  </si>
  <si>
    <t>Accounts Payable % Cost of Sales:</t>
  </si>
  <si>
    <t>Deferred Revenue % Revenue:</t>
  </si>
  <si>
    <t>M</t>
  </si>
  <si>
    <t>$</t>
  </si>
  <si>
    <t>Monster Market Share - Units:</t>
  </si>
  <si>
    <t>Energy Drink Market Size - Units:</t>
  </si>
  <si>
    <t>Growth Rate:</t>
  </si>
  <si>
    <t>Operating Expenses % Revenue:</t>
  </si>
  <si>
    <t>Short-Term Investments:</t>
  </si>
  <si>
    <t>(-) Additions to Intangibles:</t>
  </si>
  <si>
    <t>(+/-) Change in Cash &amp; Cash Equivalents:</t>
  </si>
  <si>
    <t>Stock-Based Compensation % Revenue:</t>
  </si>
  <si>
    <t>Other Items % Revenue:</t>
  </si>
  <si>
    <t>(-) Cost of Sales:</t>
  </si>
  <si>
    <t>(-) Operating Expenses:</t>
  </si>
  <si>
    <t>(+) Interest Income:</t>
  </si>
  <si>
    <t>(+) Other Income / (-) Expense:</t>
  </si>
  <si>
    <t>Monster Beverage Corporation</t>
  </si>
  <si>
    <t>MNST</t>
  </si>
  <si>
    <t>Other Liabilities:</t>
  </si>
  <si>
    <t>Long-Term Debt:</t>
  </si>
  <si>
    <t>Issuance of Common Stock:</t>
  </si>
  <si>
    <t>Total Case Sales:</t>
  </si>
  <si>
    <t>Average Net Sales per Case:</t>
  </si>
  <si>
    <t>Tax Rate:</t>
  </si>
  <si>
    <t>Revenue Drivers:</t>
  </si>
  <si>
    <t>Historical:</t>
  </si>
  <si>
    <t>Projected:</t>
  </si>
  <si>
    <t>Assumptions and Drivers:</t>
  </si>
  <si>
    <t>Cost of Sales % Revenue:</t>
  </si>
  <si>
    <t>Interest Income - Interest Rate:</t>
  </si>
  <si>
    <t>Other Income / Expense - Interest Rate:</t>
  </si>
  <si>
    <t>Expense Drivers:</t>
  </si>
  <si>
    <t>Balance Sheet Drivers:</t>
  </si>
  <si>
    <t>Accounts Receivable % Revenue:</t>
  </si>
  <si>
    <t>Prepaid Expenses % Operating Expenses:</t>
  </si>
  <si>
    <t>Prepaid Expenses:</t>
  </si>
  <si>
    <t>Other Assets:</t>
  </si>
  <si>
    <t>Accrued Liabilities &amp; Other Payables:</t>
  </si>
  <si>
    <t>Accrued Liabilities &amp; Other Payables % OpEx:</t>
  </si>
  <si>
    <t>Other Liabilities % OpEx:</t>
  </si>
  <si>
    <t>(+/-) Change in Working Capital:</t>
  </si>
  <si>
    <t>D&amp;A % Revenue:</t>
  </si>
  <si>
    <t>Cash Flow Statement Drivers:</t>
  </si>
  <si>
    <t>(+) Depreciation &amp; Amortization:</t>
  </si>
  <si>
    <t>(+/-) Deferred Income Taxes:</t>
  </si>
  <si>
    <t>Acquisitions &amp; Other Items:</t>
  </si>
  <si>
    <t>(+) Sales / (-) Purchases of Securities:</t>
  </si>
  <si>
    <t>(+/-) Acquisitions &amp; Other Items:</t>
  </si>
  <si>
    <t>Change in Available-for-Sale Securities:</t>
  </si>
  <si>
    <t>CapEx % Revenue:</t>
  </si>
  <si>
    <t>(-) Purchases of Property And Equipment:</t>
  </si>
  <si>
    <t>Intangible Purchases % Revenue:</t>
  </si>
  <si>
    <t>(+/-) Net Change in Debt:</t>
  </si>
  <si>
    <t>(+) Issuance of Common Stock:</t>
  </si>
  <si>
    <t>(-) Stock Repurchases:</t>
  </si>
  <si>
    <t>Net Change in Debt:</t>
  </si>
  <si>
    <t>Stock Repurchases: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</si>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</sst>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"/>
    <numFmt numFmtId="165" formatCode="&quot;FY&quot;yy"/>
    <numFmt numFmtId="166" formatCode="_(#,##0.0%_);\(#,##0.0%\);_(&quot;–&quot;_)_%;_(@_)_%"/>
    <numFmt numFmtId="167" formatCode="_(* #,##0.0_);_(* \(#,##0.0\);_(* &quot;-&quot;?_);_(@_)"/>
    <numFmt numFmtId="168" formatCode="0.0%"/>
    <numFmt numFmtId="169" formatCode="_(&quot;$&quot;* #,##0.0_);_(&quot;$&quot;* \(#,##0.0\);_(&quot;$&quot;* &quot;-&quot;?_);_(@_)"/>
    <numFmt numFmtId="170" formatCode="&quot;$&quot;#,##0.000\);\(&quot;$&quot;#,##0.000\);&quot;OK!&quot;;&quot;ERROR&quot;"/>
    <numFmt numFmtId="171" formatCode="_(* #,##0.000_);_(* \(#,##0.000\);_(* &quot;-&quot;?_);_(@_)"/>
    <numFmt numFmtId="172" formatCode="0.0%;\(0.0%\)"/>
    <numFmt numFmtId="173" formatCode="#,##0.0_);\(#,##0.0\)"/>
    <numFmt numFmtId="175" formatCode="_(* #,##0.000_);_(* \(#,##0.000\);_(* &quot;-&quot;??_);_(@_)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i/>
      <sz val="12"/>
      <color rgb="FFFFFFFF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FF"/>
      <name val="Calibri"/>
      <family val="2"/>
    </font>
    <font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0000FF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81">
    <xf numFmtId="0" fontId="0" fillId="0" borderId="0" xfId="0"/>
    <xf numFmtId="39" fontId="3" fillId="5" borderId="2" xfId="1" applyNumberFormat="1" applyFont="1" applyFill="1" applyBorder="1" applyAlignment="1">
      <alignment horizontal="centerContinuous"/>
    </xf>
    <xf numFmtId="0" fontId="4" fillId="0" borderId="0" xfId="0" applyFont="1"/>
    <xf numFmtId="0" fontId="5" fillId="3" borderId="6" xfId="0" applyFont="1" applyFill="1" applyBorder="1"/>
    <xf numFmtId="0" fontId="6" fillId="3" borderId="6" xfId="0" applyFont="1" applyFill="1" applyBorder="1"/>
    <xf numFmtId="0" fontId="7" fillId="3" borderId="6" xfId="0" applyFont="1" applyFill="1" applyBorder="1"/>
    <xf numFmtId="0" fontId="3" fillId="5" borderId="1" xfId="1" applyFont="1" applyFill="1" applyAlignment="1">
      <alignment horizontal="center"/>
    </xf>
    <xf numFmtId="164" fontId="3" fillId="5" borderId="1" xfId="1" applyNumberFormat="1" applyFont="1" applyFill="1" applyAlignment="1">
      <alignment horizontal="center"/>
    </xf>
    <xf numFmtId="0" fontId="5" fillId="3" borderId="0" xfId="0" applyFont="1" applyFill="1" applyAlignment="1">
      <alignment vertical="center"/>
    </xf>
    <xf numFmtId="0" fontId="5" fillId="3" borderId="3" xfId="0" applyFont="1" applyFill="1" applyBorder="1" applyAlignment="1">
      <alignment horizontal="centerContinuous" vertical="center"/>
    </xf>
    <xf numFmtId="0" fontId="5" fillId="3" borderId="4" xfId="0" applyFont="1" applyFill="1" applyBorder="1" applyAlignment="1">
      <alignment horizontal="centerContinuous" vertical="center"/>
    </xf>
    <xf numFmtId="0" fontId="8" fillId="3" borderId="0" xfId="0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0" fontId="4" fillId="4" borderId="6" xfId="0" applyFont="1" applyFill="1" applyBorder="1"/>
    <xf numFmtId="0" fontId="9" fillId="0" borderId="0" xfId="0" applyFont="1" applyAlignment="1">
      <alignment horizontal="center"/>
    </xf>
    <xf numFmtId="169" fontId="3" fillId="0" borderId="0" xfId="0" applyNumberFormat="1" applyFont="1"/>
    <xf numFmtId="0" fontId="9" fillId="0" borderId="0" xfId="0" applyFont="1" applyAlignment="1">
      <alignment horizontal="left" indent="1"/>
    </xf>
    <xf numFmtId="167" fontId="3" fillId="0" borderId="0" xfId="0" applyNumberFormat="1" applyFont="1"/>
    <xf numFmtId="0" fontId="4" fillId="0" borderId="0" xfId="0" applyFont="1" applyAlignment="1">
      <alignment horizontal="left"/>
    </xf>
    <xf numFmtId="167" fontId="4" fillId="0" borderId="0" xfId="0" applyNumberFormat="1" applyFont="1"/>
    <xf numFmtId="167" fontId="3" fillId="0" borderId="6" xfId="0" applyNumberFormat="1" applyFont="1" applyBorder="1"/>
    <xf numFmtId="49" fontId="4" fillId="4" borderId="6" xfId="0" applyNumberFormat="1" applyFont="1" applyFill="1" applyBorder="1"/>
    <xf numFmtId="0" fontId="9" fillId="0" borderId="0" xfId="0" applyFont="1"/>
    <xf numFmtId="170" fontId="9" fillId="0" borderId="0" xfId="0" applyNumberFormat="1" applyFont="1"/>
    <xf numFmtId="0" fontId="4" fillId="0" borderId="7" xfId="0" applyFont="1" applyBorder="1" applyAlignment="1">
      <alignment horizontal="left"/>
    </xf>
    <xf numFmtId="0" fontId="4" fillId="0" borderId="7" xfId="0" applyFont="1" applyBorder="1"/>
    <xf numFmtId="172" fontId="10" fillId="5" borderId="1" xfId="1" applyNumberFormat="1" applyFont="1" applyFill="1" applyAlignment="1">
      <alignment horizontal="center"/>
    </xf>
    <xf numFmtId="0" fontId="5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3" borderId="8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4" fillId="4" borderId="9" xfId="0" applyFont="1" applyFill="1" applyBorder="1"/>
    <xf numFmtId="39" fontId="3" fillId="5" borderId="1" xfId="1" applyNumberFormat="1" applyFont="1" applyFill="1" applyAlignment="1">
      <alignment horizontal="centerContinuous"/>
    </xf>
    <xf numFmtId="167" fontId="13" fillId="0" borderId="0" xfId="0" applyNumberFormat="1" applyFont="1"/>
    <xf numFmtId="168" fontId="14" fillId="0" borderId="0" xfId="0" applyNumberFormat="1" applyFont="1"/>
    <xf numFmtId="167" fontId="13" fillId="0" borderId="7" xfId="0" applyNumberFormat="1" applyFont="1" applyBorder="1"/>
    <xf numFmtId="169" fontId="13" fillId="0" borderId="7" xfId="0" applyNumberFormat="1" applyFont="1" applyBorder="1"/>
    <xf numFmtId="169" fontId="13" fillId="0" borderId="0" xfId="0" applyNumberFormat="1" applyFont="1"/>
    <xf numFmtId="167" fontId="11" fillId="0" borderId="0" xfId="0" applyNumberFormat="1" applyFont="1"/>
    <xf numFmtId="0" fontId="9" fillId="0" borderId="7" xfId="0" applyFont="1" applyBorder="1" applyAlignment="1">
      <alignment horizontal="center"/>
    </xf>
    <xf numFmtId="169" fontId="11" fillId="0" borderId="0" xfId="0" applyNumberFormat="1" applyFont="1"/>
    <xf numFmtId="0" fontId="15" fillId="0" borderId="0" xfId="0" applyFont="1"/>
    <xf numFmtId="166" fontId="3" fillId="0" borderId="0" xfId="0" applyNumberFormat="1" applyFont="1"/>
    <xf numFmtId="173" fontId="3" fillId="0" borderId="0" xfId="0" applyNumberFormat="1" applyFont="1"/>
    <xf numFmtId="172" fontId="10" fillId="0" borderId="0" xfId="1" applyNumberFormat="1" applyFont="1" applyFill="1" applyBorder="1" applyAlignment="1"/>
    <xf numFmtId="173" fontId="11" fillId="0" borderId="0" xfId="0" applyNumberFormat="1" applyFont="1"/>
    <xf numFmtId="44" fontId="3" fillId="5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indent="1"/>
    </xf>
    <xf numFmtId="0" fontId="1" fillId="0" borderId="6" xfId="0" applyFont="1" applyBorder="1" applyAlignment="1">
      <alignment horizontal="left" indent="1"/>
    </xf>
    <xf numFmtId="49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/>
    </xf>
    <xf numFmtId="0" fontId="1" fillId="0" borderId="0" xfId="0" applyFont="1"/>
    <xf numFmtId="166" fontId="1" fillId="0" borderId="0" xfId="0" applyNumberFormat="1" applyFont="1"/>
    <xf numFmtId="167" fontId="12" fillId="0" borderId="0" xfId="0" applyNumberFormat="1" applyFont="1"/>
    <xf numFmtId="168" fontId="16" fillId="0" borderId="0" xfId="0" applyNumberFormat="1" applyFont="1"/>
    <xf numFmtId="0" fontId="9" fillId="0" borderId="0" xfId="0" applyFont="1" applyBorder="1" applyAlignment="1">
      <alignment horizontal="center"/>
    </xf>
    <xf numFmtId="167" fontId="3" fillId="0" borderId="0" xfId="0" applyNumberFormat="1" applyFont="1" applyBorder="1"/>
    <xf numFmtId="0" fontId="1" fillId="0" borderId="0" xfId="0" applyFont="1" applyBorder="1" applyAlignment="1">
      <alignment horizontal="left" indent="1"/>
    </xf>
    <xf numFmtId="44" fontId="1" fillId="0" borderId="0" xfId="0" applyNumberFormat="1" applyFont="1"/>
    <xf numFmtId="43" fontId="1" fillId="0" borderId="0" xfId="0" applyNumberFormat="1" applyFont="1"/>
    <xf numFmtId="167" fontId="1" fillId="0" borderId="0" xfId="0" applyNumberFormat="1" applyFont="1"/>
    <xf numFmtId="171" fontId="1" fillId="0" borderId="0" xfId="0" applyNumberFormat="1" applyFont="1"/>
    <xf numFmtId="168" fontId="1" fillId="0" borderId="0" xfId="0" applyNumberFormat="1" applyFont="1" applyAlignment="1">
      <alignment horizontal="right"/>
    </xf>
    <xf numFmtId="169" fontId="1" fillId="0" borderId="0" xfId="0" applyNumberFormat="1" applyFont="1"/>
    <xf numFmtId="167" fontId="1" fillId="0" borderId="0" xfId="0" applyNumberFormat="1" applyFont="1" applyBorder="1"/>
    <xf numFmtId="167" fontId="1" fillId="0" borderId="6" xfId="0" applyNumberFormat="1" applyFont="1" applyBorder="1"/>
    <xf numFmtId="175" fontId="1" fillId="0" borderId="0" xfId="0" applyNumberFormat="1" applyFont="1"/>
    <xf numFmtId="169" fontId="12" fillId="0" borderId="0" xfId="0" applyNumberFormat="1" applyFo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169" fontId="13" fillId="0" borderId="0" xfId="0" applyNumberFormat="1" applyFont="1" applyBorder="1"/>
    <xf numFmtId="0" fontId="1" fillId="0" borderId="0" xfId="0" applyFont="1" applyAlignment="1">
      <alignment horizontal="left" indent="2"/>
    </xf>
    <xf numFmtId="168" fontId="3" fillId="0" borderId="0" xfId="0" applyNumberFormat="1" applyFont="1"/>
    <xf numFmtId="168" fontId="11" fillId="0" borderId="0" xfId="0" applyNumberFormat="1" applyFont="1"/>
    <xf numFmtId="172" fontId="11" fillId="0" borderId="0" xfId="0" applyNumberFormat="1" applyFont="1"/>
    <xf numFmtId="172" fontId="3" fillId="5" borderId="1" xfId="0" applyNumberFormat="1" applyFont="1" applyFill="1" applyBorder="1" applyAlignment="1">
      <alignment horizontal="center"/>
    </xf>
    <xf numFmtId="172" fontId="11" fillId="5" borderId="1" xfId="0" applyNumberFormat="1" applyFont="1" applyFill="1" applyBorder="1" applyAlignment="1">
      <alignment horizontal="center"/>
    </xf>
    <xf numFmtId="167" fontId="3" fillId="5" borderId="1" xfId="0" applyNumberFormat="1" applyFont="1" applyFill="1" applyBorder="1" applyAlignment="1">
      <alignment horizontal="center"/>
    </xf>
    <xf numFmtId="167" fontId="17" fillId="5" borderId="1" xfId="0" applyNumberFormat="1" applyFont="1" applyFill="1" applyBorder="1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O152"/>
  <sheetViews>
    <sheetView showGridLines="0" tabSelected="1" zoomScaleNormal="100" workbookViewId="0">
      <selection activeCell="B2" sqref="B2"/>
    </sheetView>
  </sheetViews>
  <sheetFormatPr defaultRowHeight="15.75" outlineLevelRow="1" x14ac:dyDescent="0.25"/>
  <cols>
    <col min="1" max="2" width="2.7109375" style="53" customWidth="1"/>
    <col min="3" max="3" width="51.7109375" style="53" bestFit="1" customWidth="1"/>
    <col min="4" max="7" width="12.7109375" style="53" customWidth="1"/>
    <col min="8" max="8" width="12.7109375" style="53" bestFit="1" customWidth="1"/>
    <col min="9" max="12" width="11.7109375" style="53" customWidth="1"/>
    <col min="13" max="14" width="2.7109375" style="53" customWidth="1"/>
    <col min="15" max="22" width="11.7109375" style="53" customWidth="1"/>
    <col min="23" max="16384" width="9.140625" style="53"/>
  </cols>
  <sheetData>
    <row r="2" spans="2:12" ht="18.75" x14ac:dyDescent="0.3">
      <c r="B2" s="43" t="str">
        <f>Company_Name&amp;" - 3-Statement Model"</f>
        <v>Monster Beverage Corporation - 3-Statement Model</v>
      </c>
    </row>
    <row r="3" spans="2:12" x14ac:dyDescent="0.25">
      <c r="B3" s="53" t="s">
        <v>4</v>
      </c>
    </row>
    <row r="5" spans="2:12" x14ac:dyDescent="0.25">
      <c r="B5" s="3" t="s">
        <v>0</v>
      </c>
      <c r="C5" s="4"/>
      <c r="D5" s="5"/>
      <c r="E5" s="4"/>
      <c r="F5" s="4"/>
      <c r="G5" s="4"/>
      <c r="H5" s="4"/>
      <c r="I5" s="5"/>
      <c r="J5" s="4"/>
      <c r="K5" s="4"/>
      <c r="L5" s="4"/>
    </row>
    <row r="6" spans="2:12" outlineLevel="1" x14ac:dyDescent="0.25"/>
    <row r="7" spans="2:12" outlineLevel="1" x14ac:dyDescent="0.25">
      <c r="C7" s="53" t="s">
        <v>1</v>
      </c>
      <c r="D7" s="1" t="s">
        <v>74</v>
      </c>
      <c r="E7" s="1"/>
      <c r="F7" s="34"/>
    </row>
    <row r="8" spans="2:12" outlineLevel="1" x14ac:dyDescent="0.25">
      <c r="C8" s="53" t="s">
        <v>2</v>
      </c>
      <c r="D8" s="6" t="s">
        <v>75</v>
      </c>
    </row>
    <row r="9" spans="2:12" outlineLevel="1" x14ac:dyDescent="0.25">
      <c r="C9" s="53" t="s">
        <v>3</v>
      </c>
      <c r="D9" s="7">
        <v>45657</v>
      </c>
    </row>
    <row r="11" spans="2:12" x14ac:dyDescent="0.25">
      <c r="B11" s="8"/>
      <c r="C11" s="8"/>
      <c r="D11" s="8"/>
      <c r="E11" s="9" t="s">
        <v>83</v>
      </c>
      <c r="F11" s="9"/>
      <c r="G11" s="9"/>
      <c r="H11" s="10" t="s">
        <v>84</v>
      </c>
      <c r="I11" s="9"/>
      <c r="J11" s="9"/>
      <c r="K11" s="9"/>
      <c r="L11" s="9"/>
    </row>
    <row r="12" spans="2:12" x14ac:dyDescent="0.25">
      <c r="B12" s="8" t="s">
        <v>85</v>
      </c>
      <c r="C12" s="8"/>
      <c r="D12" s="11" t="s">
        <v>43</v>
      </c>
      <c r="E12" s="12">
        <f>EOMONTH(F12,-12)</f>
        <v>44926</v>
      </c>
      <c r="F12" s="12">
        <f>EOMONTH(G12,-12)</f>
        <v>45291</v>
      </c>
      <c r="G12" s="12">
        <f>Hist_Yr</f>
        <v>45657</v>
      </c>
      <c r="H12" s="13">
        <f>EOMONTH(G12,12)</f>
        <v>46022</v>
      </c>
      <c r="I12" s="12">
        <f>EOMONTH(H12,12)</f>
        <v>46387</v>
      </c>
      <c r="J12" s="12">
        <f>EOMONTH(I12,12)</f>
        <v>46752</v>
      </c>
      <c r="K12" s="12">
        <f>EOMONTH(J12,12)</f>
        <v>47118</v>
      </c>
      <c r="L12" s="12">
        <f>EOMONTH(K12,12)</f>
        <v>47483</v>
      </c>
    </row>
    <row r="13" spans="2:12" outlineLevel="1" x14ac:dyDescent="0.25">
      <c r="B13" s="22" t="s">
        <v>82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2:12" outlineLevel="1" x14ac:dyDescent="0.25">
      <c r="B14" s="2"/>
      <c r="C14" s="52" t="s">
        <v>79</v>
      </c>
      <c r="D14" s="15" t="s">
        <v>59</v>
      </c>
      <c r="E14" s="45">
        <v>701.67700000000002</v>
      </c>
      <c r="F14" s="45">
        <v>769.24099999999999</v>
      </c>
      <c r="G14" s="45">
        <v>846.66300000000001</v>
      </c>
      <c r="H14" s="47">
        <f>H19*H21</f>
        <v>948.52865408571415</v>
      </c>
      <c r="I14" s="47">
        <f>I19*I21</f>
        <v>1059.7497891791998</v>
      </c>
      <c r="J14" s="47">
        <f>J19*J21</f>
        <v>1177.3080797462878</v>
      </c>
      <c r="K14" s="47">
        <f>K19*K21</f>
        <v>1306.9504753512911</v>
      </c>
      <c r="L14" s="47">
        <f>L19*L21</f>
        <v>1451.1998015551228</v>
      </c>
    </row>
    <row r="15" spans="2:12" outlineLevel="1" x14ac:dyDescent="0.25">
      <c r="B15" s="2"/>
      <c r="C15" s="49"/>
      <c r="D15" s="15"/>
      <c r="E15" s="54"/>
      <c r="F15" s="54"/>
      <c r="G15" s="54"/>
      <c r="H15" s="46"/>
      <c r="I15" s="46"/>
      <c r="J15" s="46"/>
      <c r="K15" s="46"/>
      <c r="L15" s="46"/>
    </row>
    <row r="16" spans="2:12" outlineLevel="1" x14ac:dyDescent="0.25">
      <c r="B16" s="2"/>
      <c r="C16" s="52" t="s">
        <v>80</v>
      </c>
      <c r="D16" s="15" t="s">
        <v>60</v>
      </c>
      <c r="E16" s="60">
        <f>E64/E14</f>
        <v>8.9942380896053304</v>
      </c>
      <c r="F16" s="60">
        <f>F64/F14</f>
        <v>9.2819116505750472</v>
      </c>
      <c r="G16" s="60">
        <f>G64/G14</f>
        <v>8.84969462466176</v>
      </c>
      <c r="H16" s="48">
        <v>8.8000000000000007</v>
      </c>
      <c r="I16" s="48">
        <v>8.9</v>
      </c>
      <c r="J16" s="48">
        <v>9</v>
      </c>
      <c r="K16" s="48">
        <v>9.0500000000000007</v>
      </c>
      <c r="L16" s="48">
        <v>9.1</v>
      </c>
    </row>
    <row r="17" spans="2:12" outlineLevel="1" x14ac:dyDescent="0.25">
      <c r="B17" s="2"/>
      <c r="C17" s="49" t="s">
        <v>63</v>
      </c>
      <c r="D17" s="15" t="s">
        <v>44</v>
      </c>
      <c r="E17" s="44">
        <v>-4.3162015469178083E-3</v>
      </c>
      <c r="F17" s="54">
        <f>F16/E16-1</f>
        <v>3.1984205677430433E-2</v>
      </c>
      <c r="G17" s="54">
        <f>G16/F16-1</f>
        <v>-4.6565518201900802E-2</v>
      </c>
      <c r="H17" s="54">
        <f t="shared" ref="H17:L17" si="0">H16/G16-1</f>
        <v>-5.6154055896203703E-3</v>
      </c>
      <c r="I17" s="54">
        <f t="shared" si="0"/>
        <v>1.1363636363636243E-2</v>
      </c>
      <c r="J17" s="54">
        <f t="shared" si="0"/>
        <v>1.1235955056179803E-2</v>
      </c>
      <c r="K17" s="54">
        <f t="shared" si="0"/>
        <v>5.5555555555555358E-3</v>
      </c>
      <c r="L17" s="54">
        <f t="shared" si="0"/>
        <v>5.5248618784529135E-3</v>
      </c>
    </row>
    <row r="18" spans="2:12" outlineLevel="1" x14ac:dyDescent="0.25">
      <c r="B18" s="2"/>
      <c r="C18" s="49"/>
      <c r="D18" s="15"/>
      <c r="E18" s="60"/>
      <c r="F18" s="54"/>
      <c r="G18" s="54"/>
      <c r="H18" s="46"/>
      <c r="I18" s="46"/>
      <c r="J18" s="46"/>
      <c r="K18" s="46"/>
      <c r="L18" s="46"/>
    </row>
    <row r="19" spans="2:12" outlineLevel="1" x14ac:dyDescent="0.25">
      <c r="B19" s="2"/>
      <c r="C19" s="52" t="s">
        <v>61</v>
      </c>
      <c r="D19" s="15" t="s">
        <v>44</v>
      </c>
      <c r="E19" s="44">
        <v>0.37</v>
      </c>
      <c r="F19" s="44">
        <v>0.36</v>
      </c>
      <c r="G19" s="44">
        <v>0.35</v>
      </c>
      <c r="H19" s="27">
        <v>0.34699999999999998</v>
      </c>
      <c r="I19" s="27">
        <v>0.34399999999999997</v>
      </c>
      <c r="J19" s="27">
        <v>0.34</v>
      </c>
      <c r="K19" s="27">
        <v>0.33700000000000002</v>
      </c>
      <c r="L19" s="27">
        <v>0.33500000000000002</v>
      </c>
    </row>
    <row r="20" spans="2:12" outlineLevel="1" x14ac:dyDescent="0.25">
      <c r="B20" s="2"/>
      <c r="C20" s="49"/>
      <c r="D20" s="15"/>
      <c r="E20" s="54"/>
      <c r="F20" s="54"/>
      <c r="G20" s="54"/>
      <c r="H20" s="46"/>
      <c r="I20" s="46"/>
      <c r="J20" s="46"/>
      <c r="K20" s="46"/>
      <c r="L20" s="46"/>
    </row>
    <row r="21" spans="2:12" outlineLevel="1" x14ac:dyDescent="0.25">
      <c r="B21" s="2"/>
      <c r="C21" s="52" t="s">
        <v>62</v>
      </c>
      <c r="D21" s="15" t="s">
        <v>59</v>
      </c>
      <c r="E21" s="47">
        <f>E14/E19</f>
        <v>1896.4243243243245</v>
      </c>
      <c r="F21" s="47">
        <f>F14/F19</f>
        <v>2136.7805555555556</v>
      </c>
      <c r="G21" s="47">
        <f>G14/G19</f>
        <v>2419.037142857143</v>
      </c>
      <c r="H21" s="47">
        <f>G21*(1+H22)</f>
        <v>2733.5119714285711</v>
      </c>
      <c r="I21" s="47">
        <f>H21*(1+I22)</f>
        <v>3080.6679917999995</v>
      </c>
      <c r="J21" s="47">
        <f>I21*(1+J22)</f>
        <v>3462.6708227831996</v>
      </c>
      <c r="K21" s="47">
        <f>J21*(1+K22)</f>
        <v>3878.191321517184</v>
      </c>
      <c r="L21" s="47">
        <f>K21*(1+L22)</f>
        <v>4331.9397061346945</v>
      </c>
    </row>
    <row r="22" spans="2:12" outlineLevel="1" x14ac:dyDescent="0.25">
      <c r="B22" s="2"/>
      <c r="C22" s="49" t="s">
        <v>63</v>
      </c>
      <c r="D22" s="15" t="s">
        <v>44</v>
      </c>
      <c r="E22" s="44">
        <v>0.124</v>
      </c>
      <c r="F22" s="54">
        <f>F21/E21-1</f>
        <v>0.12674179936859198</v>
      </c>
      <c r="G22" s="54">
        <f>G21/F21-1</f>
        <v>0.13209432600260707</v>
      </c>
      <c r="H22" s="27">
        <v>0.13</v>
      </c>
      <c r="I22" s="27">
        <v>0.127</v>
      </c>
      <c r="J22" s="27">
        <v>0.124</v>
      </c>
      <c r="K22" s="27">
        <v>0.12</v>
      </c>
      <c r="L22" s="27">
        <v>0.11700000000000001</v>
      </c>
    </row>
    <row r="23" spans="2:12" x14ac:dyDescent="0.25">
      <c r="B23" s="2"/>
      <c r="C23" s="49"/>
      <c r="D23" s="15"/>
      <c r="E23" s="54"/>
      <c r="F23" s="54"/>
      <c r="G23" s="54"/>
      <c r="H23" s="46"/>
      <c r="I23" s="46"/>
      <c r="J23" s="46"/>
      <c r="K23" s="46"/>
      <c r="L23" s="46"/>
    </row>
    <row r="24" spans="2:12" x14ac:dyDescent="0.25">
      <c r="B24" s="22" t="s">
        <v>89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2" outlineLevel="1" x14ac:dyDescent="0.25">
      <c r="C25" s="52" t="s">
        <v>86</v>
      </c>
      <c r="D25" s="15" t="s">
        <v>44</v>
      </c>
      <c r="E25" s="76">
        <f>-E67/E$64</f>
        <v>0.49698275247383561</v>
      </c>
      <c r="F25" s="76">
        <f t="shared" ref="F25:G25" si="1">-F67/F$64</f>
        <v>0.46860060893327155</v>
      </c>
      <c r="G25" s="76">
        <f t="shared" si="1"/>
        <v>0.45962428275274003</v>
      </c>
      <c r="H25" s="77">
        <v>0.45700000000000002</v>
      </c>
      <c r="I25" s="77">
        <v>0.45500000000000002</v>
      </c>
      <c r="J25" s="77">
        <v>0.45300000000000001</v>
      </c>
      <c r="K25" s="77">
        <v>0.45</v>
      </c>
      <c r="L25" s="77">
        <v>0.45</v>
      </c>
    </row>
    <row r="26" spans="2:12" outlineLevel="1" x14ac:dyDescent="0.25">
      <c r="B26" s="2"/>
      <c r="C26" s="52" t="s">
        <v>64</v>
      </c>
      <c r="D26" s="15" t="s">
        <v>44</v>
      </c>
      <c r="E26" s="76">
        <f>-E72/E$64</f>
        <v>0.25191465762432558</v>
      </c>
      <c r="F26" s="76">
        <f t="shared" ref="F26:G26" si="2">-F72/F$64</f>
        <v>0.25782129395309011</v>
      </c>
      <c r="G26" s="76">
        <f t="shared" si="2"/>
        <v>0.28275274003034145</v>
      </c>
      <c r="H26" s="77">
        <v>0.28499999999999998</v>
      </c>
      <c r="I26" s="77">
        <v>0.28699999999999998</v>
      </c>
      <c r="J26" s="77">
        <v>0.28999999999999998</v>
      </c>
      <c r="K26" s="77">
        <v>0.29299999999999998</v>
      </c>
      <c r="L26" s="77">
        <v>0.29499999999999998</v>
      </c>
    </row>
    <row r="27" spans="2:12" outlineLevel="1" x14ac:dyDescent="0.25">
      <c r="B27" s="2"/>
      <c r="C27" s="49"/>
      <c r="D27" s="15"/>
      <c r="E27" s="54"/>
      <c r="F27" s="54"/>
      <c r="G27" s="54"/>
      <c r="H27" s="46"/>
      <c r="I27" s="46"/>
      <c r="J27" s="46"/>
      <c r="K27" s="46"/>
      <c r="L27" s="46"/>
    </row>
    <row r="28" spans="2:12" outlineLevel="1" x14ac:dyDescent="0.25">
      <c r="B28" s="2"/>
      <c r="C28" s="52" t="s">
        <v>87</v>
      </c>
      <c r="D28" s="15" t="s">
        <v>44</v>
      </c>
      <c r="E28" s="76"/>
      <c r="F28" s="76">
        <f>F77/AVERAGE(E88+E89,F88+F89)</f>
        <v>4.3898638044754655E-2</v>
      </c>
      <c r="G28" s="76">
        <f t="shared" ref="G28" si="3">G77/AVERAGE(F88+F89,G88+G89)</f>
        <v>4.8051139783481564E-2</v>
      </c>
      <c r="H28" s="77">
        <v>4.4999999999999998E-2</v>
      </c>
      <c r="I28" s="77">
        <v>0.04</v>
      </c>
      <c r="J28" s="77">
        <v>3.5000000000000003E-2</v>
      </c>
      <c r="K28" s="77">
        <v>0.03</v>
      </c>
      <c r="L28" s="77">
        <v>0.03</v>
      </c>
    </row>
    <row r="29" spans="2:12" outlineLevel="1" x14ac:dyDescent="0.25">
      <c r="B29" s="2"/>
      <c r="C29" s="53" t="s">
        <v>88</v>
      </c>
      <c r="D29" s="15" t="s">
        <v>44</v>
      </c>
      <c r="E29" s="76"/>
      <c r="F29" s="76"/>
      <c r="G29" s="76">
        <f>-G78/AVERAGE(F112,G112)</f>
        <v>0.29862201197482974</v>
      </c>
      <c r="H29" s="77">
        <v>0.1</v>
      </c>
      <c r="I29" s="77">
        <v>0.09</v>
      </c>
      <c r="J29" s="77">
        <v>0.08</v>
      </c>
      <c r="K29" s="77">
        <v>7.0000000000000007E-2</v>
      </c>
      <c r="L29" s="77">
        <v>7.0000000000000007E-2</v>
      </c>
    </row>
    <row r="30" spans="2:12" outlineLevel="1" x14ac:dyDescent="0.25">
      <c r="B30" s="2"/>
      <c r="C30" s="49"/>
      <c r="D30" s="15"/>
      <c r="E30" s="54"/>
      <c r="F30" s="54"/>
      <c r="G30" s="54"/>
      <c r="H30" s="46"/>
      <c r="I30" s="46"/>
      <c r="J30" s="46"/>
      <c r="K30" s="46"/>
      <c r="L30" s="46"/>
    </row>
    <row r="31" spans="2:12" outlineLevel="1" x14ac:dyDescent="0.25">
      <c r="B31" s="2"/>
      <c r="C31" s="53" t="s">
        <v>81</v>
      </c>
      <c r="D31" s="15" t="s">
        <v>44</v>
      </c>
      <c r="E31" s="76">
        <f>-E81/E80</f>
        <v>0.24195210577341464</v>
      </c>
      <c r="F31" s="76">
        <f t="shared" ref="F31:G31" si="4">-F81/F80</f>
        <v>0.21150486201958729</v>
      </c>
      <c r="G31" s="76">
        <f t="shared" si="4"/>
        <v>0.24147821091060434</v>
      </c>
      <c r="H31" s="78">
        <f>AVERAGE(E31:G31)</f>
        <v>0.23164505956786874</v>
      </c>
      <c r="I31" s="78">
        <f>H31</f>
        <v>0.23164505956786874</v>
      </c>
      <c r="J31" s="78">
        <f>I31</f>
        <v>0.23164505956786874</v>
      </c>
      <c r="K31" s="78">
        <f>J31</f>
        <v>0.23164505956786874</v>
      </c>
      <c r="L31" s="78">
        <f>K31</f>
        <v>0.23164505956786874</v>
      </c>
    </row>
    <row r="32" spans="2:12" x14ac:dyDescent="0.25">
      <c r="B32" s="2"/>
      <c r="C32" s="49"/>
      <c r="D32" s="15"/>
      <c r="E32" s="54"/>
      <c r="F32" s="54"/>
      <c r="G32" s="54"/>
      <c r="H32" s="46"/>
      <c r="I32" s="46"/>
      <c r="J32" s="46"/>
      <c r="K32" s="46"/>
      <c r="L32" s="46"/>
    </row>
    <row r="33" spans="2:12" x14ac:dyDescent="0.25">
      <c r="B33" s="22" t="s">
        <v>90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2:12" outlineLevel="1" x14ac:dyDescent="0.25">
      <c r="B34" s="2"/>
      <c r="C34" s="49" t="s">
        <v>91</v>
      </c>
      <c r="D34" s="15" t="s">
        <v>44</v>
      </c>
      <c r="E34" s="76">
        <f>E90/E$64</f>
        <v>0.16101964015496628</v>
      </c>
      <c r="F34" s="76">
        <f t="shared" ref="F34:G34" si="5">F90/F$64</f>
        <v>0.16722121639035817</v>
      </c>
      <c r="G34" s="76">
        <f t="shared" si="5"/>
        <v>0.16304463445731043</v>
      </c>
      <c r="H34" s="78">
        <f>AVERAGE(E34:G34)</f>
        <v>0.16376183033421163</v>
      </c>
      <c r="I34" s="78">
        <f>H34</f>
        <v>0.16376183033421163</v>
      </c>
      <c r="J34" s="78">
        <f t="shared" ref="J34:L34" si="6">I34</f>
        <v>0.16376183033421163</v>
      </c>
      <c r="K34" s="78">
        <f t="shared" si="6"/>
        <v>0.16376183033421163</v>
      </c>
      <c r="L34" s="78">
        <f t="shared" si="6"/>
        <v>0.16376183033421163</v>
      </c>
    </row>
    <row r="35" spans="2:12" outlineLevel="1" x14ac:dyDescent="0.25">
      <c r="B35" s="2"/>
      <c r="C35" s="49" t="s">
        <v>56</v>
      </c>
      <c r="D35" s="15" t="s">
        <v>44</v>
      </c>
      <c r="E35" s="76">
        <f>-E91/E$67</f>
        <v>0.29830577752214821</v>
      </c>
      <c r="F35" s="76">
        <f>-F91/F$67</f>
        <v>0.29033412128144331</v>
      </c>
      <c r="G35" s="76">
        <f>-G91/G$67</f>
        <v>0.21403692573764507</v>
      </c>
      <c r="H35" s="77">
        <v>0.21</v>
      </c>
      <c r="I35" s="77">
        <v>0.20699999999999999</v>
      </c>
      <c r="J35" s="77">
        <v>0.20399999999999999</v>
      </c>
      <c r="K35" s="77">
        <v>0.2</v>
      </c>
      <c r="L35" s="77">
        <v>0.2</v>
      </c>
    </row>
    <row r="36" spans="2:12" outlineLevel="1" x14ac:dyDescent="0.25">
      <c r="B36" s="2"/>
      <c r="C36" s="49" t="s">
        <v>92</v>
      </c>
      <c r="D36" s="15" t="s">
        <v>44</v>
      </c>
      <c r="E36" s="54">
        <f>-E92/E$72</f>
        <v>9.0328245628821913E-2</v>
      </c>
      <c r="F36" s="54">
        <f t="shared" ref="F36:G36" si="7">-F92/F$72</f>
        <v>9.2536549671863713E-2</v>
      </c>
      <c r="G36" s="54">
        <f t="shared" si="7"/>
        <v>7.0549008205480643E-2</v>
      </c>
      <c r="H36" s="77">
        <v>6.8000000000000005E-2</v>
      </c>
      <c r="I36" s="77">
        <v>6.5000000000000002E-2</v>
      </c>
      <c r="J36" s="77">
        <v>6.3E-2</v>
      </c>
      <c r="K36" s="77">
        <v>0.06</v>
      </c>
      <c r="L36" s="77">
        <v>0.06</v>
      </c>
    </row>
    <row r="37" spans="2:12" outlineLevel="1" x14ac:dyDescent="0.25">
      <c r="B37" s="2"/>
      <c r="C37" s="49"/>
      <c r="D37" s="15"/>
      <c r="E37" s="54"/>
      <c r="F37" s="54"/>
      <c r="G37" s="54"/>
      <c r="H37" s="46"/>
      <c r="I37" s="46"/>
      <c r="J37" s="46"/>
      <c r="K37" s="46"/>
      <c r="L37" s="46"/>
    </row>
    <row r="38" spans="2:12" outlineLevel="1" x14ac:dyDescent="0.25">
      <c r="B38" s="2"/>
      <c r="C38" s="49" t="s">
        <v>57</v>
      </c>
      <c r="D38" s="15" t="s">
        <v>44</v>
      </c>
      <c r="E38" s="76">
        <f>-E105/E$67</f>
        <v>0.14164431944952355</v>
      </c>
      <c r="F38" s="76">
        <f t="shared" ref="F38:G38" si="8">-F105/F$67</f>
        <v>0.16868176749443561</v>
      </c>
      <c r="G38" s="76">
        <f t="shared" si="8"/>
        <v>0.13553946172155368</v>
      </c>
      <c r="H38" s="78">
        <f>AVERAGE(E38:G38)</f>
        <v>0.14862184955517094</v>
      </c>
      <c r="I38" s="78">
        <f>H38</f>
        <v>0.14862184955517094</v>
      </c>
      <c r="J38" s="78">
        <f>I38</f>
        <v>0.14862184955517094</v>
      </c>
      <c r="K38" s="78">
        <f>J38</f>
        <v>0.14862184955517094</v>
      </c>
      <c r="L38" s="78">
        <f>K38</f>
        <v>0.14862184955517094</v>
      </c>
    </row>
    <row r="39" spans="2:12" outlineLevel="1" x14ac:dyDescent="0.25">
      <c r="B39" s="2"/>
      <c r="C39" s="49" t="s">
        <v>96</v>
      </c>
      <c r="D39" s="15" t="s">
        <v>44</v>
      </c>
      <c r="E39" s="76">
        <f>-E106/E72</f>
        <v>0.32355460843377287</v>
      </c>
      <c r="F39" s="76">
        <f t="shared" ref="F39:G39" si="9">-F106/F72</f>
        <v>0.30170611309660589</v>
      </c>
      <c r="G39" s="76">
        <f t="shared" si="9"/>
        <v>0.27609714790633744</v>
      </c>
      <c r="H39" s="77">
        <v>0.27</v>
      </c>
      <c r="I39" s="77">
        <v>0.26500000000000001</v>
      </c>
      <c r="J39" s="77">
        <v>0.26</v>
      </c>
      <c r="K39" s="77">
        <v>0.255</v>
      </c>
      <c r="L39" s="77">
        <v>0.25</v>
      </c>
    </row>
    <row r="40" spans="2:12" outlineLevel="1" x14ac:dyDescent="0.25">
      <c r="B40" s="2"/>
      <c r="C40" s="49"/>
      <c r="D40" s="15"/>
      <c r="E40" s="54"/>
      <c r="F40" s="54"/>
      <c r="G40" s="54"/>
      <c r="H40" s="46"/>
      <c r="I40" s="46"/>
      <c r="J40" s="46"/>
      <c r="K40" s="46"/>
      <c r="L40" s="46"/>
    </row>
    <row r="41" spans="2:12" outlineLevel="1" x14ac:dyDescent="0.25">
      <c r="B41" s="2"/>
      <c r="C41" s="49" t="s">
        <v>58</v>
      </c>
      <c r="D41" s="15" t="s">
        <v>44</v>
      </c>
      <c r="E41" s="54">
        <f>E110/E64</f>
        <v>4.2324335887055239E-2</v>
      </c>
      <c r="F41" s="54">
        <f t="shared" ref="F41:G41" si="10">F110/F64</f>
        <v>3.447676038199856E-2</v>
      </c>
      <c r="G41" s="54">
        <f t="shared" si="10"/>
        <v>3.000476863574977E-2</v>
      </c>
      <c r="H41" s="77">
        <v>2.8000000000000001E-2</v>
      </c>
      <c r="I41" s="77">
        <v>2.5999999999999999E-2</v>
      </c>
      <c r="J41" s="77">
        <v>2.4E-2</v>
      </c>
      <c r="K41" s="77">
        <v>2.1999999999999999E-2</v>
      </c>
      <c r="L41" s="77">
        <v>0.02</v>
      </c>
    </row>
    <row r="42" spans="2:12" outlineLevel="1" x14ac:dyDescent="0.25">
      <c r="B42" s="2"/>
      <c r="C42" s="49" t="s">
        <v>97</v>
      </c>
      <c r="D42" s="15" t="s">
        <v>44</v>
      </c>
      <c r="E42" s="54">
        <f>-E111/E72</f>
        <v>2.6597544667848333E-2</v>
      </c>
      <c r="F42" s="54">
        <f t="shared" ref="F42:G42" si="11">-F111/F72</f>
        <v>4.9888882913391677E-2</v>
      </c>
      <c r="G42" s="54">
        <f t="shared" si="11"/>
        <v>5.2342980028169762E-2</v>
      </c>
      <c r="H42" s="77">
        <v>5.2999999999999999E-2</v>
      </c>
      <c r="I42" s="77">
        <v>5.3999999999999999E-2</v>
      </c>
      <c r="J42" s="77">
        <v>5.5E-2</v>
      </c>
      <c r="K42" s="77">
        <v>5.6000000000000001E-2</v>
      </c>
      <c r="L42" s="77">
        <v>5.7000000000000002E-2</v>
      </c>
    </row>
    <row r="43" spans="2:12" x14ac:dyDescent="0.25">
      <c r="B43" s="2"/>
      <c r="C43" s="49"/>
      <c r="D43" s="15"/>
      <c r="E43" s="54"/>
      <c r="F43" s="54"/>
      <c r="G43" s="54"/>
      <c r="H43" s="46"/>
      <c r="I43" s="46"/>
      <c r="J43" s="46"/>
      <c r="K43" s="46"/>
      <c r="L43" s="46"/>
    </row>
    <row r="44" spans="2:12" x14ac:dyDescent="0.25">
      <c r="B44" s="22" t="s">
        <v>100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2:12" outlineLevel="1" x14ac:dyDescent="0.25">
      <c r="B45" s="2" t="s">
        <v>115</v>
      </c>
      <c r="C45" s="49" t="s">
        <v>99</v>
      </c>
      <c r="D45" s="15" t="s">
        <v>44</v>
      </c>
      <c r="E45" s="54">
        <f>E128/E64</f>
        <v>9.703773540060686E-3</v>
      </c>
      <c r="F45" s="54">
        <f t="shared" ref="F45:G45" si="12">F128/F64</f>
        <v>9.6495433420629908E-3</v>
      </c>
      <c r="G45" s="54">
        <f t="shared" si="12"/>
        <v>1.0734969154680904E-2</v>
      </c>
      <c r="H45" s="78">
        <f>AVERAGE(E45:G45)</f>
        <v>1.002942867893486E-2</v>
      </c>
      <c r="I45" s="78">
        <f>H45</f>
        <v>1.002942867893486E-2</v>
      </c>
      <c r="J45" s="78">
        <f>I45</f>
        <v>1.002942867893486E-2</v>
      </c>
      <c r="K45" s="78">
        <f>J45</f>
        <v>1.002942867893486E-2</v>
      </c>
      <c r="L45" s="78">
        <f>K45</f>
        <v>1.002942867893486E-2</v>
      </c>
    </row>
    <row r="46" spans="2:12" outlineLevel="1" x14ac:dyDescent="0.25">
      <c r="B46" s="2"/>
      <c r="C46" s="49" t="s">
        <v>68</v>
      </c>
      <c r="D46" s="15" t="s">
        <v>44</v>
      </c>
      <c r="E46" s="54">
        <f>E130/E64</f>
        <v>1.0158214560176198E-2</v>
      </c>
      <c r="F46" s="54">
        <f>F130/F64</f>
        <v>9.6408599015101754E-3</v>
      </c>
      <c r="G46" s="54">
        <f>G130/G64</f>
        <v>1.2143138082634732E-2</v>
      </c>
      <c r="H46" s="78">
        <f>AVERAGE(E46:G46)</f>
        <v>1.0647404181440369E-2</v>
      </c>
      <c r="I46" s="78">
        <f>H46</f>
        <v>1.0647404181440369E-2</v>
      </c>
      <c r="J46" s="78">
        <f>I46</f>
        <v>1.0647404181440369E-2</v>
      </c>
      <c r="K46" s="78">
        <f>J46</f>
        <v>1.0647404181440369E-2</v>
      </c>
      <c r="L46" s="78">
        <f>K46</f>
        <v>1.0647404181440369E-2</v>
      </c>
    </row>
    <row r="47" spans="2:12" outlineLevel="1" x14ac:dyDescent="0.25">
      <c r="B47" s="2"/>
      <c r="C47" s="49" t="s">
        <v>55</v>
      </c>
      <c r="D47" s="15" t="s">
        <v>44</v>
      </c>
      <c r="E47" s="54">
        <f>-E131/E$81</f>
        <v>0.12668139033496348</v>
      </c>
      <c r="F47" s="54">
        <f>-F131/F$81</f>
        <v>4.6629210914892541E-3</v>
      </c>
      <c r="G47" s="54">
        <f>-G131/G$81</f>
        <v>-2.4364554516861606E-2</v>
      </c>
      <c r="H47" s="78">
        <f>AVERAGE(E47:G47)</f>
        <v>3.5659918969863709E-2</v>
      </c>
      <c r="I47" s="78">
        <f>H47</f>
        <v>3.5659918969863709E-2</v>
      </c>
      <c r="J47" s="78">
        <f>I47</f>
        <v>3.5659918969863709E-2</v>
      </c>
      <c r="K47" s="78">
        <f>J47</f>
        <v>3.5659918969863709E-2</v>
      </c>
      <c r="L47" s="78">
        <f>K47</f>
        <v>3.5659918969863709E-2</v>
      </c>
    </row>
    <row r="48" spans="2:12" outlineLevel="1" x14ac:dyDescent="0.25">
      <c r="B48" s="2"/>
      <c r="C48" s="49"/>
      <c r="D48" s="15"/>
      <c r="E48" s="54"/>
      <c r="F48" s="54"/>
      <c r="G48" s="54"/>
      <c r="H48" s="46"/>
      <c r="I48" s="46"/>
      <c r="J48" s="46"/>
      <c r="K48" s="46"/>
      <c r="L48" s="46"/>
    </row>
    <row r="49" spans="2:15" outlineLevel="1" x14ac:dyDescent="0.25">
      <c r="B49" s="2"/>
      <c r="C49" s="49" t="s">
        <v>69</v>
      </c>
      <c r="D49" s="15" t="s">
        <v>44</v>
      </c>
      <c r="E49" s="54">
        <f>E129/E64</f>
        <v>1.481845334769967E-3</v>
      </c>
      <c r="F49" s="54">
        <f t="shared" ref="F49:G49" si="13">F129/F64</f>
        <v>9.6120084699959833E-4</v>
      </c>
      <c r="G49" s="54">
        <f t="shared" si="13"/>
        <v>2.0303871403520409E-2</v>
      </c>
      <c r="H49" s="77">
        <v>2E-3</v>
      </c>
      <c r="I49" s="78">
        <f>H49</f>
        <v>2E-3</v>
      </c>
      <c r="J49" s="78">
        <f>I49</f>
        <v>2E-3</v>
      </c>
      <c r="K49" s="78">
        <f>J49</f>
        <v>2E-3</v>
      </c>
      <c r="L49" s="78">
        <f>K49</f>
        <v>2E-3</v>
      </c>
    </row>
    <row r="50" spans="2:15" outlineLevel="1" x14ac:dyDescent="0.25">
      <c r="B50" s="2"/>
      <c r="C50" s="49"/>
      <c r="D50" s="15"/>
      <c r="E50" s="54"/>
      <c r="F50" s="54"/>
      <c r="G50" s="54"/>
      <c r="H50" s="46"/>
      <c r="I50" s="46"/>
      <c r="J50" s="46"/>
      <c r="K50" s="46"/>
      <c r="L50" s="46"/>
    </row>
    <row r="51" spans="2:15" outlineLevel="1" x14ac:dyDescent="0.25">
      <c r="B51" s="2"/>
      <c r="C51" s="49" t="s">
        <v>106</v>
      </c>
      <c r="D51" s="15" t="s">
        <v>48</v>
      </c>
      <c r="E51" s="40">
        <f>E136</f>
        <v>405.28800000000001</v>
      </c>
      <c r="F51" s="40">
        <f t="shared" ref="F51:G51" si="14">F136</f>
        <v>409.01900000000001</v>
      </c>
      <c r="G51" s="40">
        <f t="shared" si="14"/>
        <v>1035.7939999999999</v>
      </c>
      <c r="H51" s="79">
        <v>-200</v>
      </c>
      <c r="I51" s="80">
        <f>H51</f>
        <v>-200</v>
      </c>
      <c r="J51" s="80">
        <f>I51</f>
        <v>-200</v>
      </c>
      <c r="K51" s="80">
        <f>J51</f>
        <v>-200</v>
      </c>
      <c r="L51" s="80">
        <f>K51</f>
        <v>-200</v>
      </c>
    </row>
    <row r="52" spans="2:15" outlineLevel="1" x14ac:dyDescent="0.25">
      <c r="B52" s="2"/>
      <c r="C52" s="49" t="s">
        <v>103</v>
      </c>
      <c r="D52" s="15" t="s">
        <v>48</v>
      </c>
      <c r="E52" s="40">
        <f>E137</f>
        <v>-354.50200000000001</v>
      </c>
      <c r="F52" s="40">
        <f t="shared" ref="F52:G52" si="15">F137</f>
        <v>-367.69</v>
      </c>
      <c r="G52" s="40">
        <f t="shared" si="15"/>
        <v>4.367</v>
      </c>
      <c r="H52" s="79">
        <v>0</v>
      </c>
      <c r="I52" s="80">
        <f>H52</f>
        <v>0</v>
      </c>
      <c r="J52" s="80">
        <f t="shared" ref="J52:L52" si="16">I52</f>
        <v>0</v>
      </c>
      <c r="K52" s="80">
        <f t="shared" si="16"/>
        <v>0</v>
      </c>
      <c r="L52" s="80">
        <f t="shared" si="16"/>
        <v>0</v>
      </c>
    </row>
    <row r="53" spans="2:15" outlineLevel="1" x14ac:dyDescent="0.25">
      <c r="B53" s="2"/>
      <c r="C53" s="49"/>
      <c r="D53" s="15"/>
      <c r="E53" s="54"/>
      <c r="F53" s="54"/>
      <c r="G53" s="54"/>
      <c r="H53" s="18"/>
      <c r="I53" s="40"/>
      <c r="J53" s="40"/>
      <c r="K53" s="40"/>
      <c r="L53" s="40"/>
    </row>
    <row r="54" spans="2:15" outlineLevel="1" x14ac:dyDescent="0.25">
      <c r="B54" s="2"/>
      <c r="C54" s="49" t="s">
        <v>107</v>
      </c>
      <c r="D54" s="15" t="s">
        <v>44</v>
      </c>
      <c r="E54" s="54">
        <f>-E138/E$64</f>
        <v>2.9904057169567663E-2</v>
      </c>
      <c r="F54" s="54">
        <f>-F138/F$64</f>
        <v>3.1012207656917822E-2</v>
      </c>
      <c r="G54" s="54">
        <f>-G138/G$64</f>
        <v>3.5244128658940312E-2</v>
      </c>
      <c r="H54" s="77">
        <v>3.5999999999999997E-2</v>
      </c>
      <c r="I54" s="77">
        <v>3.6999999999999998E-2</v>
      </c>
      <c r="J54" s="77">
        <v>3.7999999999999999E-2</v>
      </c>
      <c r="K54" s="77">
        <v>3.9E-2</v>
      </c>
      <c r="L54" s="77">
        <v>0.04</v>
      </c>
    </row>
    <row r="55" spans="2:15" outlineLevel="1" x14ac:dyDescent="0.25">
      <c r="B55" s="2"/>
      <c r="C55" s="49" t="s">
        <v>109</v>
      </c>
      <c r="D55" s="57" t="s">
        <v>44</v>
      </c>
      <c r="E55" s="54">
        <f>-E139/E$64</f>
        <v>3.7120605921360152E-3</v>
      </c>
      <c r="F55" s="54">
        <f>-F139/F$64</f>
        <v>1.8621778321006347E-3</v>
      </c>
      <c r="G55" s="54">
        <f>-G139/G$64</f>
        <v>5.6534959518646727E-3</v>
      </c>
      <c r="H55" s="78">
        <f>AVERAGE(E55:G55)</f>
        <v>3.7425781253671076E-3</v>
      </c>
      <c r="I55" s="78">
        <f>H55</f>
        <v>3.7425781253671076E-3</v>
      </c>
      <c r="J55" s="78">
        <f>I55</f>
        <v>3.7425781253671076E-3</v>
      </c>
      <c r="K55" s="78">
        <f>J55</f>
        <v>3.7425781253671076E-3</v>
      </c>
      <c r="L55" s="78">
        <f>K55</f>
        <v>3.7425781253671076E-3</v>
      </c>
    </row>
    <row r="56" spans="2:15" outlineLevel="1" x14ac:dyDescent="0.25">
      <c r="B56" s="2"/>
      <c r="C56" s="73"/>
      <c r="D56" s="15"/>
      <c r="E56" s="75"/>
      <c r="F56" s="75"/>
      <c r="G56" s="75"/>
      <c r="H56" s="74"/>
      <c r="I56" s="74"/>
      <c r="J56" s="74"/>
      <c r="K56" s="74"/>
      <c r="L56" s="74"/>
    </row>
    <row r="57" spans="2:15" outlineLevel="1" x14ac:dyDescent="0.25">
      <c r="B57" s="2"/>
      <c r="C57" s="49" t="s">
        <v>113</v>
      </c>
      <c r="D57" s="15" t="s">
        <v>48</v>
      </c>
      <c r="E57" s="40">
        <f>E143</f>
        <v>7.4999999999999997E-2</v>
      </c>
      <c r="F57" s="40">
        <f t="shared" ref="F57:G57" si="17">F143</f>
        <v>-13.914</v>
      </c>
      <c r="G57" s="40">
        <f t="shared" si="17"/>
        <v>363.87300000000005</v>
      </c>
      <c r="H57" s="79">
        <v>-100</v>
      </c>
      <c r="I57" s="79">
        <v>0</v>
      </c>
      <c r="J57" s="79">
        <v>0</v>
      </c>
      <c r="K57" s="79">
        <v>-100</v>
      </c>
      <c r="L57" s="79">
        <v>0</v>
      </c>
    </row>
    <row r="58" spans="2:15" outlineLevel="1" x14ac:dyDescent="0.25">
      <c r="B58" s="2"/>
      <c r="C58" s="49" t="s">
        <v>78</v>
      </c>
      <c r="D58" s="15" t="s">
        <v>48</v>
      </c>
      <c r="E58" s="40">
        <f t="shared" ref="E58:G58" si="18">E144</f>
        <v>64.015000000000001</v>
      </c>
      <c r="F58" s="40">
        <f t="shared" si="18"/>
        <v>130.267</v>
      </c>
      <c r="G58" s="40">
        <f t="shared" si="18"/>
        <v>78.972999999999999</v>
      </c>
      <c r="H58" s="79">
        <v>75</v>
      </c>
      <c r="I58" s="79">
        <v>100</v>
      </c>
      <c r="J58" s="79">
        <v>125</v>
      </c>
      <c r="K58" s="79">
        <v>150</v>
      </c>
      <c r="L58" s="79">
        <v>150</v>
      </c>
    </row>
    <row r="59" spans="2:15" outlineLevel="1" x14ac:dyDescent="0.25">
      <c r="B59" s="2"/>
      <c r="C59" s="49" t="s">
        <v>114</v>
      </c>
      <c r="D59" s="15" t="s">
        <v>48</v>
      </c>
      <c r="E59" s="40">
        <f t="shared" ref="E59:G59" si="19">E145</f>
        <v>-771.02800000000002</v>
      </c>
      <c r="F59" s="40">
        <f t="shared" si="19"/>
        <v>-658.952</v>
      </c>
      <c r="G59" s="40">
        <f t="shared" si="19"/>
        <v>-3771.875</v>
      </c>
      <c r="H59" s="79">
        <v>-1000</v>
      </c>
      <c r="I59" s="79">
        <v>-1250</v>
      </c>
      <c r="J59" s="79">
        <v>-1500</v>
      </c>
      <c r="K59" s="79">
        <v>-1750</v>
      </c>
      <c r="L59" s="79">
        <v>-2000</v>
      </c>
    </row>
    <row r="60" spans="2:15" x14ac:dyDescent="0.25">
      <c r="B60" s="2"/>
      <c r="C60" s="73"/>
      <c r="D60" s="15"/>
      <c r="E60" s="75"/>
      <c r="F60" s="75"/>
      <c r="G60" s="75"/>
      <c r="H60" s="74"/>
      <c r="I60" s="74"/>
      <c r="J60" s="74"/>
      <c r="K60" s="74"/>
      <c r="L60" s="74"/>
    </row>
    <row r="61" spans="2:15" x14ac:dyDescent="0.25">
      <c r="B61" s="8"/>
      <c r="C61" s="8"/>
      <c r="D61" s="8"/>
      <c r="E61" s="9" t="str">
        <f>$E$11</f>
        <v>Historical:</v>
      </c>
      <c r="F61" s="9"/>
      <c r="G61" s="9"/>
      <c r="H61" s="10" t="str">
        <f>$H$11</f>
        <v>Projected:</v>
      </c>
      <c r="I61" s="9"/>
      <c r="J61" s="9"/>
      <c r="K61" s="9"/>
      <c r="L61" s="9"/>
    </row>
    <row r="62" spans="2:15" ht="14.45" customHeight="1" x14ac:dyDescent="0.25">
      <c r="B62" s="28" t="s">
        <v>5</v>
      </c>
      <c r="C62" s="28"/>
      <c r="D62" s="29" t="str">
        <f>$D$12</f>
        <v>Units:</v>
      </c>
      <c r="E62" s="30">
        <f>$E$12</f>
        <v>44926</v>
      </c>
      <c r="F62" s="30">
        <f>$F$12</f>
        <v>45291</v>
      </c>
      <c r="G62" s="30">
        <f>$G$12</f>
        <v>45657</v>
      </c>
      <c r="H62" s="31">
        <f>$H$12</f>
        <v>46022</v>
      </c>
      <c r="I62" s="30">
        <f>$I$12</f>
        <v>46387</v>
      </c>
      <c r="J62" s="30">
        <f>$J$12</f>
        <v>46752</v>
      </c>
      <c r="K62" s="30">
        <f>$K$12</f>
        <v>47118</v>
      </c>
      <c r="L62" s="30">
        <f>$L$12</f>
        <v>47483</v>
      </c>
    </row>
    <row r="63" spans="2:15" outlineLevel="1" x14ac:dyDescent="0.25">
      <c r="C63" s="2"/>
      <c r="D63" s="15"/>
      <c r="O63" s="61"/>
    </row>
    <row r="64" spans="2:15" outlineLevel="1" x14ac:dyDescent="0.25">
      <c r="C64" s="70" t="s">
        <v>19</v>
      </c>
      <c r="D64" s="15" t="s">
        <v>48</v>
      </c>
      <c r="E64" s="69">
        <v>6311.05</v>
      </c>
      <c r="F64" s="69">
        <v>7140.027</v>
      </c>
      <c r="G64" s="69">
        <v>7492.7089999999998</v>
      </c>
      <c r="H64" s="39">
        <f>H14*H16</f>
        <v>8347.0521559542849</v>
      </c>
      <c r="I64" s="39">
        <f>I14*I16</f>
        <v>9431.7731236948784</v>
      </c>
      <c r="J64" s="39">
        <f>J14*J16</f>
        <v>10595.772717716591</v>
      </c>
      <c r="K64" s="39">
        <f>K14*K16</f>
        <v>11827.901801929185</v>
      </c>
      <c r="L64" s="39">
        <f>L14*L16</f>
        <v>13205.918194151616</v>
      </c>
    </row>
    <row r="65" spans="3:12" outlineLevel="1" x14ac:dyDescent="0.25">
      <c r="C65" s="17" t="s">
        <v>18</v>
      </c>
      <c r="D65" s="15" t="s">
        <v>44</v>
      </c>
      <c r="E65" s="56">
        <v>0.13889089399790677</v>
      </c>
      <c r="F65" s="36">
        <f>F64/E64-1</f>
        <v>0.13135326134319958</v>
      </c>
      <c r="G65" s="36">
        <f>G64/F64-1</f>
        <v>4.9395051307228988E-2</v>
      </c>
      <c r="H65" s="36">
        <f>H64/G64-1</f>
        <v>0.1140232666121539</v>
      </c>
      <c r="I65" s="36">
        <f>I64/H64-1</f>
        <v>0.12995258056064962</v>
      </c>
      <c r="J65" s="36">
        <f>J64/I64-1</f>
        <v>0.12341259472171417</v>
      </c>
      <c r="K65" s="36">
        <f>K64/J64-1</f>
        <v>0.11628496732026172</v>
      </c>
      <c r="L65" s="36">
        <f>L64/K64-1</f>
        <v>0.11650556584750049</v>
      </c>
    </row>
    <row r="66" spans="3:12" outlineLevel="1" x14ac:dyDescent="0.25"/>
    <row r="67" spans="3:12" outlineLevel="1" x14ac:dyDescent="0.25">
      <c r="C67" s="49" t="s">
        <v>70</v>
      </c>
      <c r="D67" s="15" t="s">
        <v>48</v>
      </c>
      <c r="E67" s="18">
        <v>-3136.4830000000002</v>
      </c>
      <c r="F67" s="18">
        <v>-3345.8209999999999</v>
      </c>
      <c r="G67" s="18">
        <v>-3443.8310000000001</v>
      </c>
      <c r="H67" s="62">
        <f>-H25*H64</f>
        <v>-3814.6028352711082</v>
      </c>
      <c r="I67" s="62">
        <f>-I25*I64</f>
        <v>-4291.4567712811695</v>
      </c>
      <c r="J67" s="62">
        <f>-J25*J64</f>
        <v>-4799.8850411256153</v>
      </c>
      <c r="K67" s="62">
        <f>-K25*K64</f>
        <v>-5322.5558108681334</v>
      </c>
      <c r="L67" s="62">
        <f>-L25*L64</f>
        <v>-5942.6631873682272</v>
      </c>
    </row>
    <row r="68" spans="3:12" outlineLevel="1" x14ac:dyDescent="0.25">
      <c r="E68" s="18"/>
      <c r="F68" s="18"/>
      <c r="G68" s="18"/>
      <c r="H68" s="62"/>
      <c r="I68" s="62"/>
      <c r="J68" s="62"/>
      <c r="K68" s="62"/>
      <c r="L68" s="62"/>
    </row>
    <row r="69" spans="3:12" outlineLevel="1" x14ac:dyDescent="0.25">
      <c r="C69" s="19" t="s">
        <v>6</v>
      </c>
      <c r="D69" s="15" t="s">
        <v>48</v>
      </c>
      <c r="E69" s="35">
        <f>E64+E67</f>
        <v>3174.567</v>
      </c>
      <c r="F69" s="35">
        <f t="shared" ref="F69:L69" si="20">F64+F67</f>
        <v>3794.2060000000001</v>
      </c>
      <c r="G69" s="35">
        <f t="shared" si="20"/>
        <v>4048.8779999999997</v>
      </c>
      <c r="H69" s="35">
        <f t="shared" si="20"/>
        <v>4532.4493206831767</v>
      </c>
      <c r="I69" s="35">
        <f t="shared" si="20"/>
        <v>5140.316352413709</v>
      </c>
      <c r="J69" s="35">
        <f t="shared" si="20"/>
        <v>5795.8876765909754</v>
      </c>
      <c r="K69" s="35">
        <f t="shared" si="20"/>
        <v>6505.3459910610518</v>
      </c>
      <c r="L69" s="35">
        <f t="shared" si="20"/>
        <v>7263.255006783389</v>
      </c>
    </row>
    <row r="70" spans="3:12" outlineLevel="1" x14ac:dyDescent="0.25">
      <c r="C70" s="17" t="s">
        <v>17</v>
      </c>
      <c r="D70" s="15" t="s">
        <v>44</v>
      </c>
      <c r="E70" s="36">
        <f>E69/E$64</f>
        <v>0.50301724752616439</v>
      </c>
      <c r="F70" s="36">
        <f t="shared" ref="F70" si="21">F69/F$64</f>
        <v>0.53139939106672851</v>
      </c>
      <c r="G70" s="36">
        <f t="shared" ref="G70" si="22">G69/G$64</f>
        <v>0.54037571724725997</v>
      </c>
      <c r="H70" s="36">
        <f t="shared" ref="H70" si="23">H69/H$64</f>
        <v>0.54300000000000004</v>
      </c>
      <c r="I70" s="36">
        <f t="shared" ref="I70" si="24">I69/I$64</f>
        <v>0.54500000000000004</v>
      </c>
      <c r="J70" s="36">
        <f t="shared" ref="J70" si="25">J69/J$64</f>
        <v>0.54700000000000004</v>
      </c>
      <c r="K70" s="36">
        <f t="shared" ref="K70" si="26">K69/K$64</f>
        <v>0.55000000000000004</v>
      </c>
      <c r="L70" s="36">
        <f t="shared" ref="L70" si="27">L69/L$64</f>
        <v>0.55000000000000004</v>
      </c>
    </row>
    <row r="71" spans="3:12" outlineLevel="1" x14ac:dyDescent="0.25">
      <c r="C71" s="17"/>
      <c r="E71" s="64"/>
      <c r="F71" s="64"/>
      <c r="G71" s="64"/>
      <c r="H71" s="62"/>
      <c r="I71" s="62"/>
      <c r="J71" s="62"/>
      <c r="K71" s="62"/>
      <c r="L71" s="62"/>
    </row>
    <row r="72" spans="3:12" outlineLevel="1" x14ac:dyDescent="0.25">
      <c r="C72" s="49" t="s">
        <v>71</v>
      </c>
      <c r="D72" s="15" t="s">
        <v>48</v>
      </c>
      <c r="E72" s="18">
        <v>-1589.846</v>
      </c>
      <c r="F72" s="18">
        <v>-1840.8510000000001</v>
      </c>
      <c r="G72" s="18">
        <v>-2118.5839999999998</v>
      </c>
      <c r="H72" s="62">
        <f>-H26*H64</f>
        <v>-2378.9098644469709</v>
      </c>
      <c r="I72" s="62">
        <f>-I26*I64</f>
        <v>-2706.9188865004298</v>
      </c>
      <c r="J72" s="62">
        <f>-J26*J64</f>
        <v>-3072.7740881378113</v>
      </c>
      <c r="K72" s="62">
        <f>-K26*K64</f>
        <v>-3465.5752279652511</v>
      </c>
      <c r="L72" s="62">
        <f>-L26*L64</f>
        <v>-3895.7458672747266</v>
      </c>
    </row>
    <row r="73" spans="3:12" outlineLevel="1" x14ac:dyDescent="0.25">
      <c r="C73" s="51"/>
      <c r="E73" s="18"/>
      <c r="F73" s="18"/>
      <c r="G73" s="18"/>
      <c r="H73" s="18"/>
      <c r="I73" s="18"/>
      <c r="J73" s="18"/>
      <c r="K73" s="18"/>
      <c r="L73" s="18"/>
    </row>
    <row r="74" spans="3:12" outlineLevel="1" x14ac:dyDescent="0.25">
      <c r="C74" s="19" t="s">
        <v>20</v>
      </c>
      <c r="D74" s="15" t="s">
        <v>48</v>
      </c>
      <c r="E74" s="35">
        <f>E69+E72</f>
        <v>1584.721</v>
      </c>
      <c r="F74" s="35">
        <f t="shared" ref="F74:L74" si="28">F69+F72</f>
        <v>1953.355</v>
      </c>
      <c r="G74" s="35">
        <f t="shared" si="28"/>
        <v>1930.2939999999999</v>
      </c>
      <c r="H74" s="35">
        <f t="shared" si="28"/>
        <v>2153.5394562362058</v>
      </c>
      <c r="I74" s="35">
        <f t="shared" si="28"/>
        <v>2433.3974659132791</v>
      </c>
      <c r="J74" s="35">
        <f t="shared" si="28"/>
        <v>2723.1135884531641</v>
      </c>
      <c r="K74" s="35">
        <f t="shared" si="28"/>
        <v>3039.7707630958007</v>
      </c>
      <c r="L74" s="35">
        <f t="shared" si="28"/>
        <v>3367.5091395086624</v>
      </c>
    </row>
    <row r="75" spans="3:12" outlineLevel="1" x14ac:dyDescent="0.25">
      <c r="C75" s="17" t="s">
        <v>21</v>
      </c>
      <c r="D75" s="15" t="s">
        <v>44</v>
      </c>
      <c r="E75" s="36">
        <f>E74/E$64</f>
        <v>0.25110258990183881</v>
      </c>
      <c r="F75" s="36">
        <f t="shared" ref="F75:L75" si="29">F74/F$64</f>
        <v>0.27357809711363834</v>
      </c>
      <c r="G75" s="36">
        <f t="shared" si="29"/>
        <v>0.25762297721691846</v>
      </c>
      <c r="H75" s="36">
        <f t="shared" si="29"/>
        <v>0.25800000000000001</v>
      </c>
      <c r="I75" s="36">
        <f t="shared" si="29"/>
        <v>0.25800000000000006</v>
      </c>
      <c r="J75" s="36">
        <f t="shared" si="29"/>
        <v>0.25700000000000001</v>
      </c>
      <c r="K75" s="36">
        <f t="shared" si="29"/>
        <v>0.25700000000000001</v>
      </c>
      <c r="L75" s="36">
        <f t="shared" si="29"/>
        <v>0.255</v>
      </c>
    </row>
    <row r="76" spans="3:12" outlineLevel="1" x14ac:dyDescent="0.25">
      <c r="E76" s="62"/>
      <c r="F76" s="62"/>
      <c r="G76" s="62"/>
      <c r="H76" s="62"/>
      <c r="I76" s="62"/>
      <c r="J76" s="62"/>
      <c r="K76" s="62"/>
      <c r="L76" s="62"/>
    </row>
    <row r="77" spans="3:12" outlineLevel="1" x14ac:dyDescent="0.25">
      <c r="C77" s="49" t="s">
        <v>72</v>
      </c>
      <c r="D77" s="15" t="s">
        <v>48</v>
      </c>
      <c r="E77" s="18">
        <v>0</v>
      </c>
      <c r="F77" s="18">
        <v>130</v>
      </c>
      <c r="G77" s="18">
        <v>115</v>
      </c>
      <c r="H77" s="62">
        <f>H28*(G88+G89)</f>
        <v>68.997915000000006</v>
      </c>
      <c r="I77" s="62">
        <f>I28*(H88+H89)</f>
        <v>79.216337711803462</v>
      </c>
      <c r="J77" s="62">
        <f>J28*(I88+I89)</f>
        <v>85.683411776721954</v>
      </c>
      <c r="K77" s="62">
        <f>K28*(J88+J89)</f>
        <v>86.485502179417907</v>
      </c>
      <c r="L77" s="62">
        <f>L28*(K88+K89)</f>
        <v>96.240186260685491</v>
      </c>
    </row>
    <row r="78" spans="3:12" outlineLevel="1" x14ac:dyDescent="0.25">
      <c r="C78" s="49" t="s">
        <v>73</v>
      </c>
      <c r="D78" s="15" t="s">
        <v>48</v>
      </c>
      <c r="E78" s="18">
        <v>-12.757</v>
      </c>
      <c r="F78" s="18">
        <v>-14.872999999999747</v>
      </c>
      <c r="G78" s="18">
        <v>-55.834999999999781</v>
      </c>
      <c r="H78" s="62">
        <f>-H29*G112</f>
        <v>-37.395100000000006</v>
      </c>
      <c r="I78" s="62">
        <f>-I29*H112</f>
        <v>-24.65559</v>
      </c>
      <c r="J78" s="62">
        <f>-J29*I112</f>
        <v>-21.916080000000001</v>
      </c>
      <c r="K78" s="62">
        <f>-K29*J112</f>
        <v>-19.176570000000002</v>
      </c>
      <c r="L78" s="62">
        <f>-L29*K112</f>
        <v>-12.176570000000003</v>
      </c>
    </row>
    <row r="79" spans="3:12" outlineLevel="1" x14ac:dyDescent="0.25">
      <c r="E79" s="63"/>
      <c r="F79" s="62"/>
      <c r="G79" s="62"/>
      <c r="H79" s="62"/>
      <c r="I79" s="62"/>
      <c r="J79" s="62"/>
      <c r="K79" s="62"/>
      <c r="L79" s="62"/>
    </row>
    <row r="80" spans="3:12" outlineLevel="1" x14ac:dyDescent="0.25">
      <c r="C80" s="19" t="s">
        <v>22</v>
      </c>
      <c r="D80" s="15" t="s">
        <v>48</v>
      </c>
      <c r="E80" s="35">
        <f>E74+SUM(E77:E78)</f>
        <v>1571.9639999999999</v>
      </c>
      <c r="F80" s="35">
        <f>F74+SUM(F77:F78)</f>
        <v>2068.4820000000004</v>
      </c>
      <c r="G80" s="35">
        <f>G74+SUM(G77:G78)</f>
        <v>1989.4590000000001</v>
      </c>
      <c r="H80" s="35">
        <f>H74+SUM(H77:H78)</f>
        <v>2185.1422712362059</v>
      </c>
      <c r="I80" s="35">
        <f>I74+SUM(I77:I78)</f>
        <v>2487.9582136250824</v>
      </c>
      <c r="J80" s="35">
        <f>J74+SUM(J77:J78)</f>
        <v>2786.8809202298862</v>
      </c>
      <c r="K80" s="35">
        <f>K74+SUM(K77:K78)</f>
        <v>3107.0796952752185</v>
      </c>
      <c r="L80" s="35">
        <f>L74+SUM(L77:L78)</f>
        <v>3451.5727557693481</v>
      </c>
    </row>
    <row r="81" spans="2:12" outlineLevel="1" x14ac:dyDescent="0.25">
      <c r="C81" s="50" t="s">
        <v>47</v>
      </c>
      <c r="D81" s="32" t="s">
        <v>48</v>
      </c>
      <c r="E81" s="21">
        <v>-380.34</v>
      </c>
      <c r="F81" s="21">
        <v>-437.49400000000003</v>
      </c>
      <c r="G81" s="21">
        <v>-480.411</v>
      </c>
      <c r="H81" s="67">
        <f>-H31*H80</f>
        <v>-506.17741158477889</v>
      </c>
      <c r="I81" s="67">
        <f>-I31*I80</f>
        <v>-576.3232285975505</v>
      </c>
      <c r="J81" s="67">
        <f>-J31*J80</f>
        <v>-645.5671967752088</v>
      </c>
      <c r="K81" s="67">
        <f>-K31*K80</f>
        <v>-719.73966109414346</v>
      </c>
      <c r="L81" s="67">
        <f>-L31*L80</f>
        <v>-799.53977661302349</v>
      </c>
    </row>
    <row r="82" spans="2:12" outlineLevel="1" x14ac:dyDescent="0.25">
      <c r="C82" s="71" t="s">
        <v>7</v>
      </c>
      <c r="D82" s="15" t="s">
        <v>48</v>
      </c>
      <c r="E82" s="72">
        <f>SUM(E80:E81)</f>
        <v>1191.624</v>
      </c>
      <c r="F82" s="72">
        <f t="shared" ref="F82:L82" si="30">SUM(F80:F81)</f>
        <v>1630.9880000000003</v>
      </c>
      <c r="G82" s="72">
        <f t="shared" si="30"/>
        <v>1509.048</v>
      </c>
      <c r="H82" s="72">
        <f t="shared" si="30"/>
        <v>1678.9648596514271</v>
      </c>
      <c r="I82" s="72">
        <f t="shared" si="30"/>
        <v>1911.6349850275319</v>
      </c>
      <c r="J82" s="72">
        <f t="shared" si="30"/>
        <v>2141.3137234546775</v>
      </c>
      <c r="K82" s="72">
        <f t="shared" si="30"/>
        <v>2387.3400341810748</v>
      </c>
      <c r="L82" s="72">
        <f t="shared" si="30"/>
        <v>2652.0329791563245</v>
      </c>
    </row>
    <row r="84" spans="2:12" x14ac:dyDescent="0.25">
      <c r="B84" s="8"/>
      <c r="C84" s="8"/>
      <c r="D84" s="8"/>
      <c r="E84" s="9" t="str">
        <f>$E$11</f>
        <v>Historical:</v>
      </c>
      <c r="F84" s="9"/>
      <c r="G84" s="9"/>
      <c r="H84" s="10" t="str">
        <f>$H$11</f>
        <v>Projected:</v>
      </c>
      <c r="I84" s="9"/>
      <c r="J84" s="9"/>
      <c r="K84" s="9"/>
      <c r="L84" s="9"/>
    </row>
    <row r="85" spans="2:12" x14ac:dyDescent="0.25">
      <c r="B85" s="28" t="s">
        <v>8</v>
      </c>
      <c r="C85" s="28"/>
      <c r="D85" s="29" t="str">
        <f>$D$12</f>
        <v>Units:</v>
      </c>
      <c r="E85" s="30">
        <f>$E$12</f>
        <v>44926</v>
      </c>
      <c r="F85" s="30">
        <f>$F$12</f>
        <v>45291</v>
      </c>
      <c r="G85" s="30">
        <f>$G$12</f>
        <v>45657</v>
      </c>
      <c r="H85" s="31">
        <f>$H$12</f>
        <v>46022</v>
      </c>
      <c r="I85" s="30">
        <f>$I$12</f>
        <v>46387</v>
      </c>
      <c r="J85" s="30">
        <f>$J$12</f>
        <v>46752</v>
      </c>
      <c r="K85" s="30">
        <f>$K$12</f>
        <v>47118</v>
      </c>
      <c r="L85" s="30">
        <f>$L$12</f>
        <v>47483</v>
      </c>
    </row>
    <row r="86" spans="2:12" x14ac:dyDescent="0.25">
      <c r="B86" s="22" t="s">
        <v>23</v>
      </c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2:12" outlineLevel="1" x14ac:dyDescent="0.25">
      <c r="C87" s="2" t="s">
        <v>24</v>
      </c>
    </row>
    <row r="88" spans="2:12" outlineLevel="1" x14ac:dyDescent="0.25">
      <c r="C88" s="49" t="s">
        <v>9</v>
      </c>
      <c r="D88" s="15" t="s">
        <v>48</v>
      </c>
      <c r="E88" s="16">
        <v>1307.1410000000001</v>
      </c>
      <c r="F88" s="16">
        <v>2297.6750000000002</v>
      </c>
      <c r="G88" s="16">
        <v>1533.287</v>
      </c>
      <c r="H88" s="42">
        <f>H152</f>
        <v>1780.4084427950866</v>
      </c>
      <c r="I88" s="42">
        <f t="shared" ref="I88:L88" si="31">I152</f>
        <v>2048.0974793349128</v>
      </c>
      <c r="J88" s="42">
        <f t="shared" si="31"/>
        <v>2282.8500726472635</v>
      </c>
      <c r="K88" s="42">
        <f t="shared" si="31"/>
        <v>2408.0062086895164</v>
      </c>
      <c r="L88" s="42">
        <f t="shared" si="31"/>
        <v>2556.606450693565</v>
      </c>
    </row>
    <row r="89" spans="2:12" outlineLevel="1" x14ac:dyDescent="0.25">
      <c r="C89" s="49" t="s">
        <v>65</v>
      </c>
      <c r="D89" s="15" t="s">
        <v>48</v>
      </c>
      <c r="E89" s="18">
        <v>1362.3140000000001</v>
      </c>
      <c r="F89" s="18">
        <v>955.60500000000002</v>
      </c>
      <c r="G89" s="18">
        <v>0</v>
      </c>
      <c r="H89" s="62">
        <f>G89-H136</f>
        <v>200</v>
      </c>
      <c r="I89" s="62">
        <f t="shared" ref="I89:L89" si="32">H89-I136</f>
        <v>400</v>
      </c>
      <c r="J89" s="62">
        <f t="shared" si="32"/>
        <v>600</v>
      </c>
      <c r="K89" s="62">
        <f t="shared" si="32"/>
        <v>800</v>
      </c>
      <c r="L89" s="62">
        <f t="shared" si="32"/>
        <v>1000</v>
      </c>
    </row>
    <row r="90" spans="2:12" outlineLevel="1" x14ac:dyDescent="0.25">
      <c r="C90" s="49" t="s">
        <v>46</v>
      </c>
      <c r="D90" s="15" t="s">
        <v>48</v>
      </c>
      <c r="E90" s="18">
        <v>1016.203</v>
      </c>
      <c r="F90" s="18">
        <v>1193.9639999999999</v>
      </c>
      <c r="G90" s="18">
        <v>1221.646</v>
      </c>
      <c r="H90" s="62">
        <f>H34*H$64</f>
        <v>1366.928538954201</v>
      </c>
      <c r="I90" s="62">
        <f>I34*I$64</f>
        <v>1544.5644300332979</v>
      </c>
      <c r="J90" s="62">
        <f>J34*J$64</f>
        <v>1735.1831340585727</v>
      </c>
      <c r="K90" s="62">
        <f>K34*K$64</f>
        <v>1936.9588480972432</v>
      </c>
      <c r="L90" s="62">
        <f>L34*L$64</f>
        <v>2162.6253347181355</v>
      </c>
    </row>
    <row r="91" spans="2:12" outlineLevel="1" x14ac:dyDescent="0.25">
      <c r="C91" s="49" t="s">
        <v>10</v>
      </c>
      <c r="D91" s="15" t="s">
        <v>48</v>
      </c>
      <c r="E91" s="18">
        <v>935.63099999999997</v>
      </c>
      <c r="F91" s="18">
        <v>971.40599999999995</v>
      </c>
      <c r="G91" s="18">
        <v>737.10699999999997</v>
      </c>
      <c r="H91" s="62">
        <f>-H35*H$67</f>
        <v>801.06659540693272</v>
      </c>
      <c r="I91" s="62">
        <f>-I35*I$67</f>
        <v>888.33155165520202</v>
      </c>
      <c r="J91" s="62">
        <f>-J35*J$67</f>
        <v>979.17654838962551</v>
      </c>
      <c r="K91" s="62">
        <f>-K35*K$67</f>
        <v>1064.5111621736266</v>
      </c>
      <c r="L91" s="62">
        <f>-L35*L$67</f>
        <v>1188.5326374736455</v>
      </c>
    </row>
    <row r="92" spans="2:12" outlineLevel="1" x14ac:dyDescent="0.25">
      <c r="C92" s="59" t="s">
        <v>93</v>
      </c>
      <c r="D92" s="57" t="s">
        <v>48</v>
      </c>
      <c r="E92" s="58">
        <v>143.608</v>
      </c>
      <c r="F92" s="58">
        <v>170.346</v>
      </c>
      <c r="G92" s="58">
        <v>149.464</v>
      </c>
      <c r="H92" s="66">
        <f>-H72*H36</f>
        <v>161.76587078239405</v>
      </c>
      <c r="I92" s="66">
        <f>-I72*I36</f>
        <v>175.94972762252794</v>
      </c>
      <c r="J92" s="66">
        <f>-J72*J36</f>
        <v>193.58476755268211</v>
      </c>
      <c r="K92" s="66">
        <f>-K72*K36</f>
        <v>207.93451367791505</v>
      </c>
      <c r="L92" s="66">
        <f>-L72*L36</f>
        <v>233.74475203648359</v>
      </c>
    </row>
    <row r="93" spans="2:12" outlineLevel="1" x14ac:dyDescent="0.25">
      <c r="C93" s="25" t="s">
        <v>11</v>
      </c>
      <c r="D93" s="41" t="s">
        <v>48</v>
      </c>
      <c r="E93" s="37">
        <f>SUM(E88:E92)</f>
        <v>4764.8969999999999</v>
      </c>
      <c r="F93" s="37">
        <f t="shared" ref="F93:L93" si="33">SUM(F88:F92)</f>
        <v>5588.996000000001</v>
      </c>
      <c r="G93" s="37">
        <f t="shared" si="33"/>
        <v>3641.5039999999999</v>
      </c>
      <c r="H93" s="37">
        <f t="shared" si="33"/>
        <v>4310.1694479386142</v>
      </c>
      <c r="I93" s="37">
        <f t="shared" si="33"/>
        <v>5056.9431886459406</v>
      </c>
      <c r="J93" s="37">
        <f t="shared" si="33"/>
        <v>5790.7945226481434</v>
      </c>
      <c r="K93" s="37">
        <f t="shared" si="33"/>
        <v>6417.4107326383009</v>
      </c>
      <c r="L93" s="37">
        <f t="shared" si="33"/>
        <v>7141.50917492183</v>
      </c>
    </row>
    <row r="94" spans="2:12" outlineLevel="1" x14ac:dyDescent="0.25">
      <c r="E94" s="62"/>
      <c r="F94" s="62"/>
      <c r="G94" s="62"/>
      <c r="H94" s="62"/>
      <c r="I94" s="62"/>
      <c r="J94" s="62"/>
      <c r="K94" s="62"/>
      <c r="L94" s="62"/>
    </row>
    <row r="95" spans="2:12" outlineLevel="1" x14ac:dyDescent="0.25">
      <c r="C95" s="19" t="s">
        <v>25</v>
      </c>
      <c r="E95" s="62"/>
      <c r="F95" s="62"/>
      <c r="G95" s="62"/>
      <c r="H95" s="62"/>
      <c r="I95" s="62"/>
      <c r="J95" s="62"/>
      <c r="K95" s="62"/>
      <c r="L95" s="62"/>
    </row>
    <row r="96" spans="2:12" outlineLevel="1" x14ac:dyDescent="0.25">
      <c r="C96" s="49" t="s">
        <v>49</v>
      </c>
      <c r="D96" s="15" t="s">
        <v>48</v>
      </c>
      <c r="E96" s="18">
        <v>516.89700000000005</v>
      </c>
      <c r="F96" s="18">
        <v>890.79600000000005</v>
      </c>
      <c r="G96" s="18">
        <v>1047.0239999999999</v>
      </c>
      <c r="H96" s="62">
        <f>G96-H128-H137-H138</f>
        <v>1263.8017133368612</v>
      </c>
      <c r="I96" s="62">
        <f t="shared" ref="I96:L96" si="34">H96-I128-I137-I138</f>
        <v>1518.1820230535793</v>
      </c>
      <c r="J96" s="62">
        <f t="shared" si="34"/>
        <v>1814.5518395562674</v>
      </c>
      <c r="K96" s="62">
        <f t="shared" si="34"/>
        <v>2157.2129122876117</v>
      </c>
      <c r="L96" s="62">
        <f t="shared" si="34"/>
        <v>2553.0018253855842</v>
      </c>
    </row>
    <row r="97" spans="2:12" outlineLevel="1" x14ac:dyDescent="0.25">
      <c r="C97" s="49" t="s">
        <v>94</v>
      </c>
      <c r="D97" s="15" t="s">
        <v>48</v>
      </c>
      <c r="E97" s="18">
        <v>372.96</v>
      </c>
      <c r="F97" s="18">
        <v>361.65</v>
      </c>
      <c r="G97" s="18">
        <v>284.666</v>
      </c>
      <c r="H97" s="62">
        <f>G97-H131</f>
        <v>266.61575451851144</v>
      </c>
      <c r="I97" s="62">
        <f t="shared" ref="I97:L97" si="35">H97-I131</f>
        <v>246.06411488627253</v>
      </c>
      <c r="J97" s="62">
        <f t="shared" si="35"/>
        <v>223.04324095966652</v>
      </c>
      <c r="K97" s="62">
        <f t="shared" si="35"/>
        <v>197.3773829656522</v>
      </c>
      <c r="L97" s="62">
        <f t="shared" si="35"/>
        <v>168.86585931844886</v>
      </c>
    </row>
    <row r="98" spans="2:12" outlineLevel="1" x14ac:dyDescent="0.25">
      <c r="C98" s="49" t="s">
        <v>52</v>
      </c>
      <c r="D98" s="15" t="s">
        <v>48</v>
      </c>
      <c r="E98" s="18">
        <v>2638.3510000000001</v>
      </c>
      <c r="F98" s="18">
        <v>2845.08</v>
      </c>
      <c r="G98" s="18">
        <v>2745.895</v>
      </c>
      <c r="H98" s="62">
        <f>G98-H139</f>
        <v>2777.1344948101728</v>
      </c>
      <c r="I98" s="62">
        <f t="shared" ref="I98:L98" si="36">H98-I139</f>
        <v>2812.4336425863385</v>
      </c>
      <c r="J98" s="62">
        <f t="shared" si="36"/>
        <v>2852.0891497810262</v>
      </c>
      <c r="K98" s="62">
        <f t="shared" si="36"/>
        <v>2896.3559963339167</v>
      </c>
      <c r="L98" s="62">
        <f t="shared" si="36"/>
        <v>2945.7801768927361</v>
      </c>
    </row>
    <row r="99" spans="2:12" ht="14.45" customHeight="1" outlineLevel="1" x14ac:dyDescent="0.25">
      <c r="C99" s="25" t="s">
        <v>26</v>
      </c>
      <c r="D99" s="41" t="s">
        <v>48</v>
      </c>
      <c r="E99" s="37">
        <f>SUM(E96:E98)</f>
        <v>3528.2080000000001</v>
      </c>
      <c r="F99" s="37">
        <f t="shared" ref="F99:L99" si="37">SUM(F96:F98)</f>
        <v>4097.5259999999998</v>
      </c>
      <c r="G99" s="37">
        <f t="shared" si="37"/>
        <v>4077.585</v>
      </c>
      <c r="H99" s="37">
        <f t="shared" si="37"/>
        <v>4307.5519626655459</v>
      </c>
      <c r="I99" s="37">
        <f t="shared" si="37"/>
        <v>4576.6797805261904</v>
      </c>
      <c r="J99" s="37">
        <f t="shared" si="37"/>
        <v>4889.6842302969599</v>
      </c>
      <c r="K99" s="37">
        <f t="shared" si="37"/>
        <v>5250.9462915871809</v>
      </c>
      <c r="L99" s="37">
        <f t="shared" si="37"/>
        <v>5667.647861596769</v>
      </c>
    </row>
    <row r="100" spans="2:12" ht="14.45" customHeight="1" outlineLevel="1" x14ac:dyDescent="0.25">
      <c r="C100" s="19"/>
      <c r="E100" s="20"/>
      <c r="F100" s="20"/>
      <c r="G100" s="20"/>
      <c r="H100" s="20"/>
      <c r="I100" s="62"/>
      <c r="J100" s="62"/>
      <c r="K100" s="62"/>
      <c r="L100" s="62"/>
    </row>
    <row r="101" spans="2:12" outlineLevel="1" x14ac:dyDescent="0.25">
      <c r="C101" s="19" t="s">
        <v>12</v>
      </c>
      <c r="D101" s="15" t="s">
        <v>48</v>
      </c>
      <c r="E101" s="39">
        <f>E93+E99</f>
        <v>8293.1049999999996</v>
      </c>
      <c r="F101" s="39">
        <f>F93+F99</f>
        <v>9686.5220000000008</v>
      </c>
      <c r="G101" s="39">
        <f>G93+G99</f>
        <v>7719.0889999999999</v>
      </c>
      <c r="H101" s="39">
        <f>H93+H99</f>
        <v>8617.7214106041611</v>
      </c>
      <c r="I101" s="39">
        <f>I93+I99</f>
        <v>9633.622969172131</v>
      </c>
      <c r="J101" s="39">
        <f>J93+J99</f>
        <v>10680.478752945102</v>
      </c>
      <c r="K101" s="39">
        <f>K93+K99</f>
        <v>11668.357024225483</v>
      </c>
      <c r="L101" s="39">
        <f>L93+L99</f>
        <v>12809.157036518598</v>
      </c>
    </row>
    <row r="102" spans="2:12" x14ac:dyDescent="0.25">
      <c r="C102" s="19"/>
      <c r="E102" s="20"/>
      <c r="F102" s="20"/>
      <c r="G102" s="20"/>
      <c r="H102" s="62"/>
      <c r="I102" s="62"/>
      <c r="J102" s="62"/>
      <c r="K102" s="62"/>
      <c r="L102" s="62"/>
    </row>
    <row r="103" spans="2:12" x14ac:dyDescent="0.25">
      <c r="B103" s="14" t="s">
        <v>27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spans="2:12" outlineLevel="1" x14ac:dyDescent="0.25">
      <c r="C104" s="2" t="s">
        <v>28</v>
      </c>
      <c r="D104" s="2"/>
      <c r="E104" s="62"/>
      <c r="F104" s="62"/>
      <c r="G104" s="62"/>
      <c r="H104" s="62"/>
      <c r="I104" s="62"/>
      <c r="J104" s="62"/>
      <c r="K104" s="62"/>
      <c r="L104" s="62"/>
    </row>
    <row r="105" spans="2:12" outlineLevel="1" x14ac:dyDescent="0.25">
      <c r="C105" s="49" t="s">
        <v>13</v>
      </c>
      <c r="D105" s="15" t="s">
        <v>48</v>
      </c>
      <c r="E105" s="16">
        <v>444.26499999999999</v>
      </c>
      <c r="F105" s="16">
        <v>564.37900000000002</v>
      </c>
      <c r="G105" s="16">
        <v>466.77499999999998</v>
      </c>
      <c r="H105" s="65">
        <f>-H38*H$67</f>
        <v>566.93332869639119</v>
      </c>
      <c r="I105" s="65">
        <f>-I38*I$67</f>
        <v>637.80424263386953</v>
      </c>
      <c r="J105" s="65">
        <f>-J38*J$67</f>
        <v>713.36779246428671</v>
      </c>
      <c r="K105" s="65">
        <f>-K38*K$67</f>
        <v>791.04808897184455</v>
      </c>
      <c r="L105" s="65">
        <f>-L38*L$67</f>
        <v>883.2095941900933</v>
      </c>
    </row>
    <row r="106" spans="2:12" outlineLevel="1" x14ac:dyDescent="0.25">
      <c r="C106" s="49" t="s">
        <v>95</v>
      </c>
      <c r="D106" s="32" t="s">
        <v>48</v>
      </c>
      <c r="E106" s="18">
        <v>514.40200000000004</v>
      </c>
      <c r="F106" s="18">
        <v>555.39600000000007</v>
      </c>
      <c r="G106" s="18">
        <v>584.93499999999995</v>
      </c>
      <c r="H106" s="40">
        <f>-H39*H$72</f>
        <v>642.30566340068219</v>
      </c>
      <c r="I106" s="40">
        <f>-I39*I$72</f>
        <v>717.333504922614</v>
      </c>
      <c r="J106" s="40">
        <f>-J39*J$72</f>
        <v>798.92126291583099</v>
      </c>
      <c r="K106" s="40">
        <f>-K39*K$72</f>
        <v>883.721683131139</v>
      </c>
      <c r="L106" s="40">
        <f>-L39*L$72</f>
        <v>973.93646681868165</v>
      </c>
    </row>
    <row r="107" spans="2:12" outlineLevel="1" x14ac:dyDescent="0.25">
      <c r="C107" s="25" t="s">
        <v>14</v>
      </c>
      <c r="D107" s="15" t="s">
        <v>48</v>
      </c>
      <c r="E107" s="37">
        <f>SUM(E105:E106)</f>
        <v>958.66700000000003</v>
      </c>
      <c r="F107" s="37">
        <f t="shared" ref="F107:L107" si="38">SUM(F105:F106)</f>
        <v>1119.7750000000001</v>
      </c>
      <c r="G107" s="37">
        <f t="shared" si="38"/>
        <v>1051.71</v>
      </c>
      <c r="H107" s="37">
        <f t="shared" si="38"/>
        <v>1209.2389920970734</v>
      </c>
      <c r="I107" s="37">
        <f t="shared" si="38"/>
        <v>1355.1377475564836</v>
      </c>
      <c r="J107" s="37">
        <f t="shared" si="38"/>
        <v>1512.2890553801176</v>
      </c>
      <c r="K107" s="37">
        <f t="shared" si="38"/>
        <v>1674.7697721029836</v>
      </c>
      <c r="L107" s="37">
        <f t="shared" si="38"/>
        <v>1857.146061008775</v>
      </c>
    </row>
    <row r="108" spans="2:12" outlineLevel="1" x14ac:dyDescent="0.25">
      <c r="E108" s="62"/>
      <c r="F108" s="62"/>
      <c r="G108" s="62"/>
      <c r="H108" s="62"/>
      <c r="I108" s="62"/>
      <c r="J108" s="62"/>
      <c r="K108" s="62"/>
      <c r="L108" s="62"/>
    </row>
    <row r="109" spans="2:12" outlineLevel="1" x14ac:dyDescent="0.25">
      <c r="C109" s="19" t="s">
        <v>29</v>
      </c>
      <c r="E109" s="61"/>
      <c r="F109" s="61"/>
      <c r="G109" s="61"/>
      <c r="H109" s="61"/>
      <c r="I109" s="61"/>
      <c r="J109" s="61"/>
      <c r="K109" s="61"/>
      <c r="L109" s="61"/>
    </row>
    <row r="110" spans="2:12" outlineLevel="1" x14ac:dyDescent="0.25">
      <c r="C110" s="49" t="s">
        <v>53</v>
      </c>
      <c r="D110" s="15" t="s">
        <v>48</v>
      </c>
      <c r="E110" s="18">
        <v>267.11099999999999</v>
      </c>
      <c r="F110" s="18">
        <v>246.16500000000002</v>
      </c>
      <c r="G110" s="18">
        <v>224.81700000000001</v>
      </c>
      <c r="H110" s="40">
        <f>H41*H$64</f>
        <v>233.71746036671999</v>
      </c>
      <c r="I110" s="40">
        <f>I41*I$64</f>
        <v>245.22610121606684</v>
      </c>
      <c r="J110" s="40">
        <f>J41*J$64</f>
        <v>254.29854522519818</v>
      </c>
      <c r="K110" s="40">
        <f>K41*K$64</f>
        <v>260.21383964244205</v>
      </c>
      <c r="L110" s="40">
        <f>L41*L$64</f>
        <v>264.11836388303232</v>
      </c>
    </row>
    <row r="111" spans="2:12" outlineLevel="1" x14ac:dyDescent="0.25">
      <c r="C111" s="49" t="s">
        <v>76</v>
      </c>
      <c r="D111" s="15" t="s">
        <v>48</v>
      </c>
      <c r="E111" s="18">
        <v>42.286000000000001</v>
      </c>
      <c r="F111" s="18">
        <v>91.837999999999994</v>
      </c>
      <c r="G111" s="18">
        <v>110.893</v>
      </c>
      <c r="H111" s="40">
        <f>-H42*H$72</f>
        <v>126.08222281568945</v>
      </c>
      <c r="I111" s="40">
        <f>-I42*I$72</f>
        <v>146.17361987102322</v>
      </c>
      <c r="J111" s="40">
        <f>-J42*J$72</f>
        <v>169.00257484757961</v>
      </c>
      <c r="K111" s="40">
        <f>-K42*K$72</f>
        <v>194.07221276605407</v>
      </c>
      <c r="L111" s="40">
        <f>-L42*L$72</f>
        <v>222.05751443465942</v>
      </c>
    </row>
    <row r="112" spans="2:12" outlineLevel="1" x14ac:dyDescent="0.25">
      <c r="C112" s="50" t="s">
        <v>77</v>
      </c>
      <c r="D112" s="32" t="s">
        <v>48</v>
      </c>
      <c r="E112" s="21">
        <v>0</v>
      </c>
      <c r="F112" s="21">
        <v>0</v>
      </c>
      <c r="G112" s="21">
        <v>373.95100000000002</v>
      </c>
      <c r="H112" s="67">
        <f>G112+H143</f>
        <v>273.95100000000002</v>
      </c>
      <c r="I112" s="67">
        <f t="shared" ref="I112:L112" si="39">H112+I143</f>
        <v>273.95100000000002</v>
      </c>
      <c r="J112" s="67">
        <f t="shared" si="39"/>
        <v>273.95100000000002</v>
      </c>
      <c r="K112" s="67">
        <f t="shared" si="39"/>
        <v>173.95100000000002</v>
      </c>
      <c r="L112" s="67">
        <f t="shared" si="39"/>
        <v>173.95100000000002</v>
      </c>
    </row>
    <row r="113" spans="2:12" outlineLevel="1" x14ac:dyDescent="0.25">
      <c r="C113" s="19" t="s">
        <v>51</v>
      </c>
      <c r="D113" s="15" t="s">
        <v>48</v>
      </c>
      <c r="E113" s="35">
        <f>SUM(E110:E112)</f>
        <v>309.39699999999999</v>
      </c>
      <c r="F113" s="35">
        <f t="shared" ref="F113:L113" si="40">SUM(F110:F112)</f>
        <v>338.00300000000004</v>
      </c>
      <c r="G113" s="35">
        <f t="shared" si="40"/>
        <v>709.66100000000006</v>
      </c>
      <c r="H113" s="35">
        <f t="shared" si="40"/>
        <v>633.75068318240949</v>
      </c>
      <c r="I113" s="35">
        <f t="shared" si="40"/>
        <v>665.35072108709005</v>
      </c>
      <c r="J113" s="35">
        <f t="shared" si="40"/>
        <v>697.25212007277787</v>
      </c>
      <c r="K113" s="35">
        <f t="shared" si="40"/>
        <v>628.23705240849608</v>
      </c>
      <c r="L113" s="35">
        <f t="shared" si="40"/>
        <v>660.12687831769176</v>
      </c>
    </row>
    <row r="114" spans="2:12" outlineLevel="1" x14ac:dyDescent="0.25">
      <c r="C114" s="19"/>
      <c r="E114" s="20"/>
      <c r="F114" s="20"/>
      <c r="G114" s="20"/>
      <c r="H114" s="20"/>
      <c r="I114" s="20"/>
      <c r="J114" s="20"/>
      <c r="K114" s="20"/>
      <c r="L114" s="20"/>
    </row>
    <row r="115" spans="2:12" outlineLevel="1" x14ac:dyDescent="0.25">
      <c r="C115" s="19" t="s">
        <v>15</v>
      </c>
      <c r="D115" s="15" t="s">
        <v>48</v>
      </c>
      <c r="E115" s="35">
        <f>E107+E113</f>
        <v>1268.0640000000001</v>
      </c>
      <c r="F115" s="35">
        <f>F107+F113</f>
        <v>1457.7780000000002</v>
      </c>
      <c r="G115" s="35">
        <f>G107+G113</f>
        <v>1761.3710000000001</v>
      </c>
      <c r="H115" s="35">
        <f>H107+H113</f>
        <v>1842.989675279483</v>
      </c>
      <c r="I115" s="35">
        <f>I107+I113</f>
        <v>2020.4884686435737</v>
      </c>
      <c r="J115" s="35">
        <f>J107+J113</f>
        <v>2209.5411754528955</v>
      </c>
      <c r="K115" s="35">
        <f>K107+K113</f>
        <v>2303.0068245114799</v>
      </c>
      <c r="L115" s="35">
        <f>L107+L113</f>
        <v>2517.2729393264667</v>
      </c>
    </row>
    <row r="116" spans="2:12" outlineLevel="1" x14ac:dyDescent="0.25">
      <c r="E116" s="62"/>
      <c r="F116" s="62"/>
      <c r="G116" s="62"/>
      <c r="H116" s="62"/>
      <c r="I116" s="62"/>
      <c r="J116" s="62"/>
      <c r="K116" s="62"/>
      <c r="L116" s="62"/>
    </row>
    <row r="117" spans="2:12" outlineLevel="1" x14ac:dyDescent="0.25">
      <c r="C117" s="2" t="s">
        <v>30</v>
      </c>
      <c r="D117" s="15" t="s">
        <v>48</v>
      </c>
      <c r="E117" s="55">
        <v>7025.0410000000002</v>
      </c>
      <c r="F117" s="55">
        <v>8228.7440000000006</v>
      </c>
      <c r="G117" s="55">
        <v>5957.7180000000008</v>
      </c>
      <c r="H117" s="20">
        <f>G117+H126+H129+H130+H144+H145+H148</f>
        <v>6774.7317353246781</v>
      </c>
      <c r="I117" s="20">
        <f t="shared" ref="I117:L117" si="41">H117+I126+I129+I130+I144+I145+I148</f>
        <v>7613.1345005285584</v>
      </c>
      <c r="J117" s="20">
        <f t="shared" si="41"/>
        <v>8470.93757749221</v>
      </c>
      <c r="K117" s="20">
        <f t="shared" si="41"/>
        <v>9365.3501997140047</v>
      </c>
      <c r="L117" s="20">
        <f t="shared" si="41"/>
        <v>10291.884097192133</v>
      </c>
    </row>
    <row r="118" spans="2:12" outlineLevel="1" x14ac:dyDescent="0.25">
      <c r="C118" s="19"/>
      <c r="E118" s="20"/>
      <c r="F118" s="20"/>
      <c r="G118" s="20"/>
      <c r="H118" s="62"/>
      <c r="I118" s="62"/>
      <c r="J118" s="62"/>
      <c r="K118" s="62"/>
      <c r="L118" s="62"/>
    </row>
    <row r="119" spans="2:12" outlineLevel="1" x14ac:dyDescent="0.25">
      <c r="C119" s="19" t="s">
        <v>45</v>
      </c>
      <c r="D119" s="15" t="s">
        <v>48</v>
      </c>
      <c r="E119" s="39">
        <f>E115+E117</f>
        <v>8293.1049999999996</v>
      </c>
      <c r="F119" s="39">
        <f t="shared" ref="F119:L119" si="42">F115+F117</f>
        <v>9686.5220000000008</v>
      </c>
      <c r="G119" s="39">
        <f t="shared" si="42"/>
        <v>7719.0890000000009</v>
      </c>
      <c r="H119" s="39">
        <f t="shared" si="42"/>
        <v>8617.7214106041611</v>
      </c>
      <c r="I119" s="39">
        <f t="shared" si="42"/>
        <v>9633.6229691721328</v>
      </c>
      <c r="J119" s="39">
        <f t="shared" si="42"/>
        <v>10680.478752945106</v>
      </c>
      <c r="K119" s="39">
        <f t="shared" si="42"/>
        <v>11668.357024225485</v>
      </c>
      <c r="L119" s="39">
        <f t="shared" si="42"/>
        <v>12809.1570365186</v>
      </c>
    </row>
    <row r="120" spans="2:12" outlineLevel="1" x14ac:dyDescent="0.25">
      <c r="C120" s="49"/>
      <c r="E120" s="62"/>
      <c r="F120" s="62"/>
      <c r="G120" s="20"/>
      <c r="H120" s="20"/>
      <c r="I120" s="20"/>
      <c r="J120" s="20"/>
      <c r="K120" s="20"/>
      <c r="L120" s="20"/>
    </row>
    <row r="121" spans="2:12" outlineLevel="1" x14ac:dyDescent="0.25">
      <c r="C121" s="23" t="s">
        <v>31</v>
      </c>
      <c r="E121" s="24">
        <f>E101-E119</f>
        <v>0</v>
      </c>
      <c r="F121" s="24">
        <f>F101-F119</f>
        <v>0</v>
      </c>
      <c r="G121" s="24">
        <f>G101-G119</f>
        <v>0</v>
      </c>
      <c r="H121" s="24">
        <f>H101-H119</f>
        <v>0</v>
      </c>
      <c r="I121" s="24">
        <f>I101-I119</f>
        <v>0</v>
      </c>
      <c r="J121" s="24">
        <f>J101-J119</f>
        <v>0</v>
      </c>
      <c r="K121" s="24">
        <f>K101-K119</f>
        <v>0</v>
      </c>
      <c r="L121" s="24">
        <f>L101-L119</f>
        <v>0</v>
      </c>
    </row>
    <row r="123" spans="2:12" x14ac:dyDescent="0.25">
      <c r="B123" s="8"/>
      <c r="C123" s="8"/>
      <c r="D123" s="8"/>
      <c r="E123" s="9" t="str">
        <f>$E$11</f>
        <v>Historical:</v>
      </c>
      <c r="F123" s="9"/>
      <c r="G123" s="9"/>
      <c r="H123" s="10" t="str">
        <f>$H$11</f>
        <v>Projected:</v>
      </c>
      <c r="I123" s="9"/>
      <c r="J123" s="9"/>
      <c r="K123" s="9"/>
      <c r="L123" s="9"/>
    </row>
    <row r="124" spans="2:12" x14ac:dyDescent="0.25">
      <c r="B124" s="28" t="s">
        <v>16</v>
      </c>
      <c r="C124" s="28"/>
      <c r="D124" s="29" t="str">
        <f>$D$12</f>
        <v>Units:</v>
      </c>
      <c r="E124" s="30">
        <f>$E$12</f>
        <v>44926</v>
      </c>
      <c r="F124" s="30">
        <f>$F$12</f>
        <v>45291</v>
      </c>
      <c r="G124" s="30">
        <f>$G$12</f>
        <v>45657</v>
      </c>
      <c r="H124" s="31">
        <f>$H$12</f>
        <v>46022</v>
      </c>
      <c r="I124" s="30">
        <f>$I$12</f>
        <v>46387</v>
      </c>
      <c r="J124" s="30">
        <f>$J$12</f>
        <v>46752</v>
      </c>
      <c r="K124" s="30">
        <f>$K$12</f>
        <v>47118</v>
      </c>
      <c r="L124" s="30">
        <f>$L$12</f>
        <v>47483</v>
      </c>
    </row>
    <row r="125" spans="2:12" outlineLevel="1" x14ac:dyDescent="0.25">
      <c r="B125" s="14" t="s">
        <v>32</v>
      </c>
      <c r="C125" s="33"/>
      <c r="D125" s="14"/>
      <c r="E125" s="14" t="s">
        <v>33</v>
      </c>
      <c r="F125" s="14" t="s">
        <v>33</v>
      </c>
      <c r="G125" s="14" t="s">
        <v>33</v>
      </c>
      <c r="H125" s="14" t="s">
        <v>33</v>
      </c>
      <c r="I125" s="14" t="s">
        <v>33</v>
      </c>
      <c r="J125" s="14" t="s">
        <v>33</v>
      </c>
      <c r="K125" s="14" t="s">
        <v>33</v>
      </c>
      <c r="L125" s="14" t="s">
        <v>33</v>
      </c>
    </row>
    <row r="126" spans="2:12" outlineLevel="1" x14ac:dyDescent="0.25">
      <c r="C126" s="2" t="s">
        <v>7</v>
      </c>
      <c r="D126" s="15" t="s">
        <v>48</v>
      </c>
      <c r="E126" s="39">
        <f>E82</f>
        <v>1191.624</v>
      </c>
      <c r="F126" s="39">
        <f t="shared" ref="F126:G126" si="43">F82</f>
        <v>1630.9880000000003</v>
      </c>
      <c r="G126" s="39">
        <f t="shared" si="43"/>
        <v>1509.048</v>
      </c>
      <c r="H126" s="39">
        <f>H82</f>
        <v>1678.9648596514271</v>
      </c>
      <c r="I126" s="39">
        <f>I82</f>
        <v>1911.6349850275319</v>
      </c>
      <c r="J126" s="39">
        <f>J82</f>
        <v>2141.3137234546775</v>
      </c>
      <c r="K126" s="39">
        <f>K82</f>
        <v>2387.3400341810748</v>
      </c>
      <c r="L126" s="39">
        <f>L82</f>
        <v>2652.0329791563245</v>
      </c>
    </row>
    <row r="127" spans="2:12" outlineLevel="1" x14ac:dyDescent="0.25">
      <c r="C127" s="2" t="s">
        <v>34</v>
      </c>
      <c r="E127" s="68"/>
      <c r="F127" s="61"/>
      <c r="G127" s="61"/>
      <c r="H127" s="61"/>
      <c r="I127" s="61"/>
      <c r="J127" s="61"/>
      <c r="K127" s="61"/>
      <c r="L127" s="61"/>
    </row>
    <row r="128" spans="2:12" outlineLevel="1" x14ac:dyDescent="0.25">
      <c r="C128" s="49" t="s">
        <v>101</v>
      </c>
      <c r="D128" s="15" t="s">
        <v>48</v>
      </c>
      <c r="E128" s="18">
        <v>61.241</v>
      </c>
      <c r="F128" s="18">
        <v>68.897999999999996</v>
      </c>
      <c r="G128" s="18">
        <v>80.433999999999997</v>
      </c>
      <c r="H128" s="40">
        <f>H45*H$64</f>
        <v>83.71616427749295</v>
      </c>
      <c r="I128" s="40">
        <f>I45*I$64</f>
        <v>94.595295859992433</v>
      </c>
      <c r="J128" s="40">
        <f>J45*J$64</f>
        <v>106.26954677054233</v>
      </c>
      <c r="K128" s="40">
        <f>K45*K$64</f>
        <v>118.62709754389387</v>
      </c>
      <c r="L128" s="40">
        <f>L45*L$64</f>
        <v>132.44781466809187</v>
      </c>
    </row>
    <row r="129" spans="2:12" outlineLevel="1" x14ac:dyDescent="0.25">
      <c r="C129" s="49" t="s">
        <v>54</v>
      </c>
      <c r="D129" s="15" t="s">
        <v>48</v>
      </c>
      <c r="E129" s="18">
        <v>9.3520000000000003</v>
      </c>
      <c r="F129" s="18">
        <v>6.8630000000000013</v>
      </c>
      <c r="G129" s="18">
        <v>152.131</v>
      </c>
      <c r="H129" s="40">
        <f>H64*H49</f>
        <v>16.694104311908571</v>
      </c>
      <c r="I129" s="40">
        <f>I64*I49</f>
        <v>18.863546247389756</v>
      </c>
      <c r="J129" s="40">
        <f>J64*J49</f>
        <v>21.191545435433181</v>
      </c>
      <c r="K129" s="40">
        <f>K64*K49</f>
        <v>23.65580360385837</v>
      </c>
      <c r="L129" s="40">
        <f>L64*L49</f>
        <v>26.411836388303232</v>
      </c>
    </row>
    <row r="130" spans="2:12" outlineLevel="1" x14ac:dyDescent="0.25">
      <c r="C130" s="49" t="s">
        <v>35</v>
      </c>
      <c r="D130" s="15" t="s">
        <v>48</v>
      </c>
      <c r="E130" s="18">
        <v>64.108999999999995</v>
      </c>
      <c r="F130" s="18">
        <v>68.835999999999999</v>
      </c>
      <c r="G130" s="18">
        <v>90.984999999999999</v>
      </c>
      <c r="H130" s="40">
        <f>H46*H$64</f>
        <v>88.874438028008498</v>
      </c>
      <c r="I130" s="40">
        <f>I46*I$64</f>
        <v>100.42390059562574</v>
      </c>
      <c r="J130" s="40">
        <f>J46*J$64</f>
        <v>112.81747474020742</v>
      </c>
      <c r="K130" s="40">
        <f>K46*K$64</f>
        <v>125.93645110352688</v>
      </c>
      <c r="L130" s="40">
        <f>L46*L$64</f>
        <v>140.60874860016938</v>
      </c>
    </row>
    <row r="131" spans="2:12" outlineLevel="1" x14ac:dyDescent="0.25">
      <c r="C131" s="49" t="s">
        <v>102</v>
      </c>
      <c r="D131" s="15" t="s">
        <v>48</v>
      </c>
      <c r="E131" s="18">
        <v>48.182000000000002</v>
      </c>
      <c r="F131" s="18">
        <v>2.04</v>
      </c>
      <c r="G131" s="18">
        <v>-11.705</v>
      </c>
      <c r="H131" s="62">
        <f>-H47*H$81</f>
        <v>18.050245481488567</v>
      </c>
      <c r="I131" s="62">
        <f>-I47*I$81</f>
        <v>20.551639632238889</v>
      </c>
      <c r="J131" s="62">
        <f>-J47*J$81</f>
        <v>23.020873926606008</v>
      </c>
      <c r="K131" s="62">
        <f>-K47*K$81</f>
        <v>25.665857994014324</v>
      </c>
      <c r="L131" s="62">
        <f>-L47*L$81</f>
        <v>28.511523647203347</v>
      </c>
    </row>
    <row r="132" spans="2:12" outlineLevel="1" x14ac:dyDescent="0.25">
      <c r="C132" s="52" t="s">
        <v>98</v>
      </c>
      <c r="D132" s="15" t="s">
        <v>48</v>
      </c>
      <c r="E132" s="18">
        <v>-486.80899999999997</v>
      </c>
      <c r="F132" s="18">
        <v>-59.871999999999993</v>
      </c>
      <c r="G132" s="18">
        <v>107.63999999999999</v>
      </c>
      <c r="H132" s="62">
        <f>G90-H90+G91-H91+G92-H92+H105-G105+H106-G106+H110-G110+H111-G111</f>
        <v>-39.925329864045011</v>
      </c>
      <c r="I132" s="62">
        <f>H90-I90+H91-I91+H92-I92+I105-H105+I106-H106+I110-H110+I111-H111</f>
        <v>-101.58591080340926</v>
      </c>
      <c r="J132" s="62">
        <f>I90-J90+I91-J91+I92-J92+J105-I105+J106-I106+J110-I110+J111-I111</f>
        <v>-110.04603388053053</v>
      </c>
      <c r="K132" s="62">
        <f>J90-K90+J91-K91+J92-K92+K105-J105+K106-J106+K110-J110+K111-J111</f>
        <v>-107.99442488932038</v>
      </c>
      <c r="L132" s="62">
        <f>K90-L90+K91-L91+K92-L92+L105-K105+L106-K106+L110-K110+L111-K111</f>
        <v>-161.23208546449274</v>
      </c>
    </row>
    <row r="133" spans="2:12" outlineLevel="1" x14ac:dyDescent="0.25">
      <c r="C133" s="26" t="s">
        <v>36</v>
      </c>
      <c r="D133" s="41" t="s">
        <v>48</v>
      </c>
      <c r="E133" s="37">
        <f>SUM(E126:E132)</f>
        <v>887.69900000000007</v>
      </c>
      <c r="F133" s="37">
        <f t="shared" ref="F133:L133" si="44">SUM(F126:F132)</f>
        <v>1717.7530000000002</v>
      </c>
      <c r="G133" s="37">
        <f t="shared" si="44"/>
        <v>1928.5329999999999</v>
      </c>
      <c r="H133" s="37">
        <f t="shared" si="44"/>
        <v>1846.3744818862806</v>
      </c>
      <c r="I133" s="37">
        <f t="shared" si="44"/>
        <v>2044.4834565593692</v>
      </c>
      <c r="J133" s="37">
        <f t="shared" si="44"/>
        <v>2294.5671304469356</v>
      </c>
      <c r="K133" s="37">
        <f t="shared" si="44"/>
        <v>2573.2308195370479</v>
      </c>
      <c r="L133" s="37">
        <f t="shared" si="44"/>
        <v>2818.7808169955993</v>
      </c>
    </row>
    <row r="134" spans="2:12" outlineLevel="1" x14ac:dyDescent="0.25">
      <c r="C134" s="2"/>
      <c r="E134" s="62"/>
      <c r="F134" s="62"/>
      <c r="G134" s="62"/>
      <c r="H134" s="62"/>
      <c r="I134" s="62"/>
      <c r="J134" s="62"/>
      <c r="K134" s="62"/>
      <c r="L134" s="62"/>
    </row>
    <row r="135" spans="2:12" outlineLevel="1" x14ac:dyDescent="0.25">
      <c r="B135" s="14" t="s">
        <v>37</v>
      </c>
      <c r="C135" s="14"/>
      <c r="D135" s="14"/>
      <c r="E135" s="14"/>
      <c r="F135" s="14"/>
      <c r="G135" s="14"/>
      <c r="H135" s="14"/>
      <c r="I135" s="14"/>
      <c r="J135" s="14"/>
      <c r="K135" s="14"/>
      <c r="L135" s="14"/>
    </row>
    <row r="136" spans="2:12" outlineLevel="1" x14ac:dyDescent="0.25">
      <c r="C136" s="49" t="s">
        <v>104</v>
      </c>
      <c r="D136" s="15" t="s">
        <v>48</v>
      </c>
      <c r="E136" s="18">
        <v>405.28800000000001</v>
      </c>
      <c r="F136" s="18">
        <v>409.01900000000001</v>
      </c>
      <c r="G136" s="18">
        <v>1035.7939999999999</v>
      </c>
      <c r="H136" s="40">
        <f>H51</f>
        <v>-200</v>
      </c>
      <c r="I136" s="40">
        <f>I51</f>
        <v>-200</v>
      </c>
      <c r="J136" s="40">
        <f>J51</f>
        <v>-200</v>
      </c>
      <c r="K136" s="40">
        <f>K51</f>
        <v>-200</v>
      </c>
      <c r="L136" s="40">
        <f>L51</f>
        <v>-200</v>
      </c>
    </row>
    <row r="137" spans="2:12" outlineLevel="1" x14ac:dyDescent="0.25">
      <c r="C137" s="49" t="s">
        <v>105</v>
      </c>
      <c r="D137" s="15" t="s">
        <v>48</v>
      </c>
      <c r="E137" s="18">
        <v>-354.50200000000001</v>
      </c>
      <c r="F137" s="18">
        <v>-367.69</v>
      </c>
      <c r="G137" s="18">
        <v>4.367</v>
      </c>
      <c r="H137" s="40">
        <f>H52</f>
        <v>0</v>
      </c>
      <c r="I137" s="40">
        <f>I52</f>
        <v>0</v>
      </c>
      <c r="J137" s="40">
        <f>J52</f>
        <v>0</v>
      </c>
      <c r="K137" s="40">
        <f>K52</f>
        <v>0</v>
      </c>
      <c r="L137" s="40">
        <f>L52</f>
        <v>0</v>
      </c>
    </row>
    <row r="138" spans="2:12" outlineLevel="1" x14ac:dyDescent="0.25">
      <c r="C138" s="49" t="s">
        <v>108</v>
      </c>
      <c r="D138" s="15" t="s">
        <v>48</v>
      </c>
      <c r="E138" s="18">
        <v>-188.726</v>
      </c>
      <c r="F138" s="18">
        <v>-221.428</v>
      </c>
      <c r="G138" s="18">
        <v>-264.07400000000001</v>
      </c>
      <c r="H138" s="40">
        <f>-H54*H$64</f>
        <v>-300.49387761435423</v>
      </c>
      <c r="I138" s="40">
        <f>-I54*I$64</f>
        <v>-348.97560557671051</v>
      </c>
      <c r="J138" s="40">
        <f>-J54*J$64</f>
        <v>-402.63936327323046</v>
      </c>
      <c r="K138" s="40">
        <f>-K54*K$64</f>
        <v>-461.2881702752382</v>
      </c>
      <c r="L138" s="40">
        <f>-L54*L$64</f>
        <v>-528.23672776606463</v>
      </c>
    </row>
    <row r="139" spans="2:12" outlineLevel="1" x14ac:dyDescent="0.25">
      <c r="C139" s="49" t="s">
        <v>66</v>
      </c>
      <c r="D139" s="32" t="s">
        <v>48</v>
      </c>
      <c r="E139" s="18">
        <v>-23.427</v>
      </c>
      <c r="F139" s="18">
        <v>-13.295999999999999</v>
      </c>
      <c r="G139" s="18">
        <v>-42.36</v>
      </c>
      <c r="H139" s="40">
        <f>-H55*H$64</f>
        <v>-31.239494810172861</v>
      </c>
      <c r="I139" s="40">
        <f>-I55*I$64</f>
        <v>-35.299147776165846</v>
      </c>
      <c r="J139" s="40">
        <f>-J55*J$64</f>
        <v>-39.655507194687701</v>
      </c>
      <c r="K139" s="40">
        <f>-K55*K$64</f>
        <v>-44.266846552890364</v>
      </c>
      <c r="L139" s="40">
        <f>-L55*L$64</f>
        <v>-49.424180558819337</v>
      </c>
    </row>
    <row r="140" spans="2:12" outlineLevel="1" x14ac:dyDescent="0.25">
      <c r="C140" s="26" t="s">
        <v>38</v>
      </c>
      <c r="D140" s="15" t="s">
        <v>48</v>
      </c>
      <c r="E140" s="37">
        <f>SUM(E136:E139)</f>
        <v>-161.36699999999999</v>
      </c>
      <c r="F140" s="37">
        <f t="shared" ref="F140:L140" si="45">SUM(F136:F139)</f>
        <v>-193.39499999999998</v>
      </c>
      <c r="G140" s="37">
        <f t="shared" si="45"/>
        <v>733.72699999999975</v>
      </c>
      <c r="H140" s="37">
        <f t="shared" si="45"/>
        <v>-531.73337242452715</v>
      </c>
      <c r="I140" s="37">
        <f t="shared" si="45"/>
        <v>-584.27475335287625</v>
      </c>
      <c r="J140" s="37">
        <f t="shared" si="45"/>
        <v>-642.29487046791814</v>
      </c>
      <c r="K140" s="37">
        <f t="shared" si="45"/>
        <v>-705.55501682812849</v>
      </c>
      <c r="L140" s="37">
        <f t="shared" si="45"/>
        <v>-777.66090832488396</v>
      </c>
    </row>
    <row r="141" spans="2:12" outlineLevel="1" x14ac:dyDescent="0.25">
      <c r="C141" s="2"/>
      <c r="E141" s="62"/>
      <c r="F141" s="62"/>
      <c r="G141" s="62"/>
      <c r="H141" s="62"/>
      <c r="I141" s="62"/>
      <c r="J141" s="62"/>
      <c r="K141" s="62"/>
      <c r="L141" s="62"/>
    </row>
    <row r="142" spans="2:12" outlineLevel="1" x14ac:dyDescent="0.25">
      <c r="B142" s="14" t="s">
        <v>39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4"/>
    </row>
    <row r="143" spans="2:12" outlineLevel="1" x14ac:dyDescent="0.25">
      <c r="C143" s="53" t="s">
        <v>110</v>
      </c>
      <c r="D143" s="15" t="s">
        <v>48</v>
      </c>
      <c r="E143" s="18">
        <v>7.4999999999999997E-2</v>
      </c>
      <c r="F143" s="18">
        <v>-13.914</v>
      </c>
      <c r="G143" s="18">
        <v>363.87300000000005</v>
      </c>
      <c r="H143" s="40">
        <f>H57</f>
        <v>-100</v>
      </c>
      <c r="I143" s="40">
        <f t="shared" ref="I143:L143" si="46">I57</f>
        <v>0</v>
      </c>
      <c r="J143" s="40">
        <f t="shared" si="46"/>
        <v>0</v>
      </c>
      <c r="K143" s="40">
        <f t="shared" si="46"/>
        <v>-100</v>
      </c>
      <c r="L143" s="40">
        <f t="shared" si="46"/>
        <v>0</v>
      </c>
    </row>
    <row r="144" spans="2:12" outlineLevel="1" x14ac:dyDescent="0.25">
      <c r="C144" s="49" t="s">
        <v>111</v>
      </c>
      <c r="D144" s="15" t="s">
        <v>48</v>
      </c>
      <c r="E144" s="18">
        <v>64.015000000000001</v>
      </c>
      <c r="F144" s="18">
        <v>130.267</v>
      </c>
      <c r="G144" s="18">
        <v>78.972999999999999</v>
      </c>
      <c r="H144" s="40">
        <f t="shared" ref="H144:L144" si="47">H58</f>
        <v>75</v>
      </c>
      <c r="I144" s="40">
        <f t="shared" si="47"/>
        <v>100</v>
      </c>
      <c r="J144" s="40">
        <f t="shared" si="47"/>
        <v>125</v>
      </c>
      <c r="K144" s="40">
        <f t="shared" si="47"/>
        <v>150</v>
      </c>
      <c r="L144" s="40">
        <f t="shared" si="47"/>
        <v>150</v>
      </c>
    </row>
    <row r="145" spans="3:12" outlineLevel="1" x14ac:dyDescent="0.25">
      <c r="C145" s="49" t="s">
        <v>112</v>
      </c>
      <c r="D145" s="15" t="s">
        <v>48</v>
      </c>
      <c r="E145" s="18">
        <v>-771.02800000000002</v>
      </c>
      <c r="F145" s="18">
        <v>-658.952</v>
      </c>
      <c r="G145" s="18">
        <v>-3771.875</v>
      </c>
      <c r="H145" s="40">
        <f t="shared" ref="H145:L145" si="48">H59</f>
        <v>-1000</v>
      </c>
      <c r="I145" s="40">
        <f t="shared" si="48"/>
        <v>-1250</v>
      </c>
      <c r="J145" s="40">
        <f t="shared" si="48"/>
        <v>-1500</v>
      </c>
      <c r="K145" s="40">
        <f t="shared" si="48"/>
        <v>-1750</v>
      </c>
      <c r="L145" s="40">
        <f t="shared" si="48"/>
        <v>-2000</v>
      </c>
    </row>
    <row r="146" spans="3:12" outlineLevel="1" x14ac:dyDescent="0.25">
      <c r="C146" s="26" t="s">
        <v>40</v>
      </c>
      <c r="D146" s="41" t="s">
        <v>48</v>
      </c>
      <c r="E146" s="37">
        <f>SUM(E143:E145)</f>
        <v>-706.93799999999999</v>
      </c>
      <c r="F146" s="37">
        <f t="shared" ref="F146:L146" si="49">SUM(F143:F145)</f>
        <v>-542.59900000000005</v>
      </c>
      <c r="G146" s="37">
        <f t="shared" si="49"/>
        <v>-3329.029</v>
      </c>
      <c r="H146" s="37">
        <f t="shared" si="49"/>
        <v>-1025</v>
      </c>
      <c r="I146" s="37">
        <f t="shared" si="49"/>
        <v>-1150</v>
      </c>
      <c r="J146" s="37">
        <f t="shared" si="49"/>
        <v>-1375</v>
      </c>
      <c r="K146" s="37">
        <f t="shared" si="49"/>
        <v>-1700</v>
      </c>
      <c r="L146" s="37">
        <f t="shared" si="49"/>
        <v>-1850</v>
      </c>
    </row>
    <row r="147" spans="3:12" outlineLevel="1" x14ac:dyDescent="0.25">
      <c r="C147" s="2"/>
      <c r="E147" s="62"/>
      <c r="F147" s="62"/>
      <c r="G147" s="62"/>
      <c r="H147" s="62"/>
      <c r="I147" s="62"/>
      <c r="J147" s="62"/>
      <c r="K147" s="62"/>
      <c r="L147" s="62"/>
    </row>
    <row r="148" spans="3:12" outlineLevel="1" x14ac:dyDescent="0.25">
      <c r="C148" s="51" t="s">
        <v>50</v>
      </c>
      <c r="D148" s="15" t="s">
        <v>48</v>
      </c>
      <c r="E148" s="18">
        <v>-38.715000000000003</v>
      </c>
      <c r="F148" s="18">
        <v>8.7750000000000004</v>
      </c>
      <c r="G148" s="18">
        <v>-97.619</v>
      </c>
      <c r="H148" s="40">
        <f>AVERAGE(E148:G148)</f>
        <v>-42.519666666666666</v>
      </c>
      <c r="I148" s="62">
        <f>H148</f>
        <v>-42.519666666666666</v>
      </c>
      <c r="J148" s="62">
        <f>I148</f>
        <v>-42.519666666666666</v>
      </c>
      <c r="K148" s="62">
        <f>J148</f>
        <v>-42.519666666666666</v>
      </c>
      <c r="L148" s="62">
        <f>K148</f>
        <v>-42.519666666666666</v>
      </c>
    </row>
    <row r="149" spans="3:12" outlineLevel="1" x14ac:dyDescent="0.25">
      <c r="C149" s="51"/>
      <c r="E149" s="62"/>
      <c r="F149" s="62"/>
      <c r="G149" s="62"/>
      <c r="H149" s="62"/>
      <c r="I149" s="62"/>
      <c r="J149" s="62"/>
      <c r="K149" s="62"/>
      <c r="L149" s="62"/>
    </row>
    <row r="150" spans="3:12" outlineLevel="1" x14ac:dyDescent="0.25">
      <c r="C150" s="52" t="s">
        <v>41</v>
      </c>
      <c r="D150" s="15" t="s">
        <v>48</v>
      </c>
      <c r="E150" s="18">
        <v>1326.462</v>
      </c>
      <c r="F150" s="40">
        <f>E152</f>
        <v>1307.1410000000001</v>
      </c>
      <c r="G150" s="40">
        <f>F152</f>
        <v>2297.6750000000002</v>
      </c>
      <c r="H150" s="40">
        <f>G152</f>
        <v>1533.2869999999998</v>
      </c>
      <c r="I150" s="40">
        <f>H152</f>
        <v>1780.4084427950866</v>
      </c>
      <c r="J150" s="40">
        <f>I152</f>
        <v>2048.0974793349128</v>
      </c>
      <c r="K150" s="40">
        <f>J152</f>
        <v>2282.8500726472635</v>
      </c>
      <c r="L150" s="40">
        <f>K152</f>
        <v>2408.0062086895164</v>
      </c>
    </row>
    <row r="151" spans="3:12" outlineLevel="1" x14ac:dyDescent="0.25">
      <c r="C151" s="49" t="s">
        <v>67</v>
      </c>
      <c r="D151" s="15" t="s">
        <v>48</v>
      </c>
      <c r="E151" s="40">
        <f>E133+E140+E146+E148</f>
        <v>-19.320999999999884</v>
      </c>
      <c r="F151" s="40">
        <f>F133+F140+F146+F148</f>
        <v>990.53400000000011</v>
      </c>
      <c r="G151" s="40">
        <f>G133+G140+G146+G148</f>
        <v>-764.38800000000026</v>
      </c>
      <c r="H151" s="40">
        <f>H133+H140+H146+H148</f>
        <v>247.12144279508667</v>
      </c>
      <c r="I151" s="40">
        <f>I133+I140+I146+I148</f>
        <v>267.68903653982613</v>
      </c>
      <c r="J151" s="40">
        <f>J133+J140+J146+J148</f>
        <v>234.7525933123508</v>
      </c>
      <c r="K151" s="40">
        <f>K133+K140+K146+K148</f>
        <v>125.15613604225283</v>
      </c>
      <c r="L151" s="40">
        <f>L133+L140+L146+L148</f>
        <v>148.60024200404851</v>
      </c>
    </row>
    <row r="152" spans="3:12" outlineLevel="1" x14ac:dyDescent="0.25">
      <c r="C152" s="26" t="s">
        <v>42</v>
      </c>
      <c r="D152" s="41" t="s">
        <v>48</v>
      </c>
      <c r="E152" s="38">
        <f>SUM(E150:E151)</f>
        <v>1307.1410000000001</v>
      </c>
      <c r="F152" s="38">
        <f>SUM(F150:F151)</f>
        <v>2297.6750000000002</v>
      </c>
      <c r="G152" s="38">
        <f>SUM(G150:G151)</f>
        <v>1533.2869999999998</v>
      </c>
      <c r="H152" s="38">
        <f>SUM(H150:H151)</f>
        <v>1780.4084427950866</v>
      </c>
      <c r="I152" s="38">
        <f>SUM(I150:I151)</f>
        <v>2048.0974793349128</v>
      </c>
      <c r="J152" s="38">
        <f>SUM(J150:J151)</f>
        <v>2282.8500726472635</v>
      </c>
      <c r="K152" s="38">
        <f>SUM(K150:K151)</f>
        <v>2408.0062086895164</v>
      </c>
      <c r="L152" s="38">
        <f>SUM(L150:L151)</f>
        <v>2556.606450693565</v>
      </c>
    </row>
  </sheetData>
  <pageMargins left="0.7" right="0.7" top="0.75" bottom="0.75" header="0.3" footer="0.3"/>
  <pageSetup scale="37" orientation="portrait" horizontalDpi="200" verticalDpi="200" r:id="rId1"/>
  <rowBreaks count="4" manualBreakCount="4">
    <brk id="32" max="12" man="1"/>
    <brk id="60" max="12" man="1"/>
    <brk id="83" max="12" man="1"/>
    <brk id="12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MNST</vt:lpstr>
      <vt:lpstr>Company_Name</vt:lpstr>
      <vt:lpstr>Hist_Yr</vt:lpstr>
      <vt:lpstr>MNST!Print_Area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BIWS</dc:creator>
  <cp:lastModifiedBy>Brian DeChesare</cp:lastModifiedBy>
  <dcterms:created xsi:type="dcterms:W3CDTF">2016-08-02T00:46:07Z</dcterms:created>
  <dcterms:modified xsi:type="dcterms:W3CDTF">2025-06-18T01:47:22Z</dcterms:modified>
</cp:coreProperties>
</file>